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9630" windowHeight="10260" tabRatio="750" activeTab="0"/>
  </bookViews>
  <sheets>
    <sheet name="Aloitus" sheetId="1" r:id="rId1"/>
    <sheet name="Ohje" sheetId="2" r:id="rId2"/>
    <sheet name="Mitoitus" sheetId="3" r:id="rId3"/>
    <sheet name="Palkkikirjasto" sheetId="4" r:id="rId4"/>
    <sheet name="Levykirjasto" sheetId="5" r:id="rId5"/>
    <sheet name="Data" sheetId="6" state="veryHidden" r:id="rId6"/>
    <sheet name="Piirto" sheetId="7" state="veryHidden" r:id="rId7"/>
  </sheets>
  <definedNames>
    <definedName name="_xlnm.Print_Area" localSheetId="0">'Aloitus'!$B$2:$M$60</definedName>
    <definedName name="_xlnm.Print_Area" localSheetId="4">'Levykirjasto'!$B$2:$AC$60</definedName>
    <definedName name="_xlnm.Print_Area" localSheetId="2">'Mitoitus'!$B$2:$M$60,'Mitoitus'!$O$2:$Z$60,'Mitoitus'!$AB$2:$AM$60</definedName>
    <definedName name="_xlnm.Print_Area" localSheetId="1">'Ohje'!$B$2:$M$60,'Ohje'!$O$2:$Z$60,'Ohje'!$AB$2:$AM$60</definedName>
    <definedName name="_xlnm.Print_Area" localSheetId="3">'Palkkikirjasto'!$B$2:$K$60</definedName>
  </definedNames>
  <calcPr fullCalcOnLoad="1" iterate="1" iterateCount="1" iterateDelta="0.001"/>
</workbook>
</file>

<file path=xl/comments3.xml><?xml version="1.0" encoding="utf-8"?>
<comments xmlns="http://schemas.openxmlformats.org/spreadsheetml/2006/main">
  <authors>
    <author>Lahtela Tero</author>
  </authors>
  <commentList>
    <comment ref="K13" authorId="0">
      <text>
        <r>
          <rPr>
            <b/>
            <sz val="10"/>
            <rFont val="Arial"/>
            <family val="2"/>
          </rPr>
          <t>Info</t>
        </r>
        <r>
          <rPr>
            <sz val="8"/>
            <rFont val="Arial"/>
            <family val="2"/>
          </rPr>
          <t xml:space="preserve">
</t>
        </r>
        <r>
          <rPr>
            <b/>
            <sz val="8"/>
            <rFont val="Arial"/>
            <family val="2"/>
          </rPr>
          <t>1.    Liimaustyön suoritus</t>
        </r>
        <r>
          <rPr>
            <sz val="8"/>
            <rFont val="Arial"/>
            <family val="2"/>
          </rPr>
          <t xml:space="preserve">
       "Tehdasliimaus" oletetaan jäykäksi liitokseksi. "Työmaaliimaus" huomioidaan kaavalla
       0,5 </t>
        </r>
        <r>
          <rPr>
            <sz val="8"/>
            <rFont val="Arial"/>
            <family val="0"/>
          </rPr>
          <t>·</t>
        </r>
        <r>
          <rPr>
            <sz val="8"/>
            <rFont val="Arial"/>
            <family val="2"/>
          </rPr>
          <t xml:space="preserve"> (EI</t>
        </r>
        <r>
          <rPr>
            <vertAlign val="subscript"/>
            <sz val="8"/>
            <rFont val="Arial"/>
            <family val="2"/>
          </rPr>
          <t>liittorakenne</t>
        </r>
        <r>
          <rPr>
            <sz val="8"/>
            <rFont val="Arial"/>
            <family val="2"/>
          </rPr>
          <t xml:space="preserve"> + EI</t>
        </r>
        <r>
          <rPr>
            <vertAlign val="subscript"/>
            <sz val="8"/>
            <rFont val="Arial"/>
            <family val="2"/>
          </rPr>
          <t>palkki</t>
        </r>
        <r>
          <rPr>
            <sz val="8"/>
            <rFont val="Arial"/>
            <family val="2"/>
          </rPr>
          <t xml:space="preserve">). 
       Levyt liimataan palkkeihin ja ponttisaumoistaan toisiinsa polyuretaaniliimalla. Ponttisaumoissa
       ei saa olla väljyyttä liittorakennevaikutuksen takia. Liimausta suositellaan käytettäväksi, vaikka      
       sitä ei hyödynnettäisikään värähtelymitoituksessa (narinan esto).
</t>
        </r>
        <r>
          <rPr>
            <b/>
            <sz val="8"/>
            <rFont val="Arial"/>
            <family val="2"/>
          </rPr>
          <t>2.    Poikittaisjäykisteet</t>
        </r>
        <r>
          <rPr>
            <sz val="8"/>
            <rFont val="Arial"/>
            <family val="2"/>
          </rPr>
          <t xml:space="preserve">
       Mikäli käytetään yhtä jäykistelinjaa, asennetaan jäykistelinja jännevälin keskelle.
       Mikäli käytetään useampaa jäykistelinjaa, asennetaan jäykistelinjat jännevälin keskelle
       siten, että ne ovat noin metrin etäisyydellä toisistaan. 
       Poikittaisjäykisteen jäykkyyden määrittämisessä välikapuloiden ja kansilevyn taivutusjäyk-
       kyys EI = 0 Nm</t>
        </r>
        <r>
          <rPr>
            <vertAlign val="superscript"/>
            <sz val="8"/>
            <rFont val="Arial"/>
            <family val="2"/>
          </rPr>
          <t>2</t>
        </r>
        <r>
          <rPr>
            <sz val="8"/>
            <rFont val="Arial"/>
            <family val="2"/>
          </rPr>
          <t xml:space="preserve">/m.  
</t>
        </r>
        <r>
          <rPr>
            <b/>
            <sz val="8"/>
            <rFont val="Arial"/>
            <family val="2"/>
          </rPr>
          <t>3.    Välipohjan tyyppi</t>
        </r>
        <r>
          <rPr>
            <sz val="8"/>
            <rFont val="Arial"/>
            <family val="2"/>
          </rPr>
          <t xml:space="preserve">
       Välipohjan tyyppi vaikuttaa välipohjan leveyden B määrittämiseen seuraavasti:
         - elementtirakenteinen ilman pintalaattaa </t>
        </r>
        <r>
          <rPr>
            <sz val="8"/>
            <rFont val="Arial"/>
            <family val="0"/>
          </rPr>
          <t>→</t>
        </r>
        <r>
          <rPr>
            <sz val="8"/>
            <rFont val="Arial"/>
            <family val="2"/>
          </rPr>
          <t xml:space="preserve"> B = elementin leveys
         - elementtirakenteinen pintalaatalla → B = välipohjan leveys
         - paikalla rakennettu → B = välipohjan leveys
       Välipohjan tyyppi vaikuttaa välipohjan jäykkyyden huomioimiseen suunnassa B seuraavasti:
         - elementtirakenteinen ilman pintalaattaa → (kansirakenne, poikittaisjäykiste)
         - elementtirakenteinen pintalaatalla → (pintalaatta)
         - paikalla rakennettu → (pintalaatta, kansirakenne, poikittaisjäykiste)
</t>
        </r>
        <r>
          <rPr>
            <b/>
            <sz val="8"/>
            <rFont val="Arial"/>
            <family val="2"/>
          </rPr>
          <t>4.    Välipohjan reunan tuenta</t>
        </r>
        <r>
          <rPr>
            <sz val="8"/>
            <rFont val="Arial"/>
            <family val="2"/>
          </rPr>
          <t xml:space="preserve">
       Välipohjan reunan tuenta vaikuttaa välipohjan ominaistaajuuden määrittämiseen. Välipohjan
       yhteen tai kahteen suuntaan kantavuus huomioidaan seuraavasti:
         - elementtirakenteinen ilman pintalaattaa → vain yhteen suuntaan kantava
         - elementtirakenteinen pintalaatalla → yhteen tai kahteen suuntaan kantava 
         - paikalla rakennettu → yhteen tai kahteen suuntaan kantava
</t>
        </r>
        <r>
          <rPr>
            <b/>
            <sz val="8"/>
            <rFont val="Arial"/>
            <family val="2"/>
          </rPr>
          <t>5.    Huoneen suurin mitta</t>
        </r>
        <r>
          <rPr>
            <sz val="8"/>
            <rFont val="Arial"/>
            <family val="2"/>
          </rPr>
          <t xml:space="preserve">
       Huoneen suurin mitta vaikuttaa taipuman raja-arvoon. Mikäli huoneen suurin mitta on alle 6 m,
       voidaan taipuman raja-arvoa suurentaa k</t>
        </r>
        <r>
          <rPr>
            <vertAlign val="subscript"/>
            <sz val="8"/>
            <rFont val="Arial"/>
            <family val="2"/>
          </rPr>
          <t>L</t>
        </r>
        <r>
          <rPr>
            <sz val="8"/>
            <rFont val="Arial"/>
            <family val="2"/>
          </rPr>
          <t>-kertoimella.</t>
        </r>
      </text>
    </comment>
  </commentList>
</comments>
</file>

<file path=xl/sharedStrings.xml><?xml version="1.0" encoding="utf-8"?>
<sst xmlns="http://schemas.openxmlformats.org/spreadsheetml/2006/main" count="867" uniqueCount="478">
  <si>
    <t>mm</t>
  </si>
  <si>
    <t>x</t>
  </si>
  <si>
    <t>y</t>
  </si>
  <si>
    <t>Liitin</t>
  </si>
  <si>
    <t>Poikittaisjäykisteet</t>
  </si>
  <si>
    <t xml:space="preserve"> Rakennuskohde</t>
  </si>
  <si>
    <t xml:space="preserve"> Työn nro.</t>
  </si>
  <si>
    <t xml:space="preserve"> Päiväys</t>
  </si>
  <si>
    <t xml:space="preserve"> Suunnittelija</t>
  </si>
  <si>
    <t xml:space="preserve"> Sisältö</t>
  </si>
  <si>
    <r>
      <t>N/mm</t>
    </r>
    <r>
      <rPr>
        <vertAlign val="superscript"/>
        <sz val="8"/>
        <rFont val="Arial"/>
        <family val="2"/>
      </rPr>
      <t>2</t>
    </r>
  </si>
  <si>
    <t>Materiaaliominaisuudet</t>
  </si>
  <si>
    <r>
      <t>mm</t>
    </r>
    <r>
      <rPr>
        <vertAlign val="superscript"/>
        <sz val="8"/>
        <rFont val="Arial"/>
        <family val="2"/>
      </rPr>
      <t>4</t>
    </r>
  </si>
  <si>
    <t>Hz</t>
  </si>
  <si>
    <t>Pintalaatta</t>
  </si>
  <si>
    <t>Apusuure jäykkyyksien suhteen</t>
  </si>
  <si>
    <t>Kampanaula</t>
  </si>
  <si>
    <t>Sivu</t>
  </si>
  <si>
    <t xml:space="preserve"> Tekijä</t>
  </si>
  <si>
    <t>Välipohjan ominaistaajuus</t>
  </si>
  <si>
    <r>
      <t>k</t>
    </r>
    <r>
      <rPr>
        <vertAlign val="subscript"/>
        <sz val="8"/>
        <rFont val="Arial"/>
        <family val="2"/>
      </rPr>
      <t>δ</t>
    </r>
  </si>
  <si>
    <r>
      <t>δ</t>
    </r>
    <r>
      <rPr>
        <vertAlign val="subscript"/>
        <sz val="8"/>
        <rFont val="Arial"/>
        <family val="2"/>
      </rPr>
      <t>laatta</t>
    </r>
  </si>
  <si>
    <r>
      <t>δ</t>
    </r>
    <r>
      <rPr>
        <vertAlign val="subscript"/>
        <sz val="8"/>
        <rFont val="Arial"/>
        <family val="2"/>
      </rPr>
      <t>palkki</t>
    </r>
  </si>
  <si>
    <t>b</t>
  </si>
  <si>
    <t>h</t>
  </si>
  <si>
    <t>Kerto-S 45x260</t>
  </si>
  <si>
    <t>Kerto-S 51x260</t>
  </si>
  <si>
    <t>Kerto-S 51x300</t>
  </si>
  <si>
    <t>Kerto-S 45x300</t>
  </si>
  <si>
    <t>Kerto-S 45x360</t>
  </si>
  <si>
    <t>Kerto-S 51x360</t>
  </si>
  <si>
    <t>Nro</t>
  </si>
  <si>
    <t>Palkin poikkileikkaus</t>
  </si>
  <si>
    <t>Palkin tuplaus</t>
  </si>
  <si>
    <t>Tuplapalkit</t>
  </si>
  <si>
    <t xml:space="preserve">mm </t>
  </si>
  <si>
    <t>Kerto-S 51x400</t>
  </si>
  <si>
    <t>Kerto-S 45x400</t>
  </si>
  <si>
    <t>L</t>
  </si>
  <si>
    <t>Käytettävä taipumaraja</t>
  </si>
  <si>
    <r>
      <t>Nmm</t>
    </r>
    <r>
      <rPr>
        <vertAlign val="superscript"/>
        <sz val="8"/>
        <rFont val="Arial"/>
        <family val="0"/>
      </rPr>
      <t>2</t>
    </r>
    <r>
      <rPr>
        <sz val="8"/>
        <rFont val="Arial"/>
        <family val="0"/>
      </rPr>
      <t>/mm</t>
    </r>
  </si>
  <si>
    <t>Paksuus</t>
  </si>
  <si>
    <t>Levy</t>
  </si>
  <si>
    <t>Ruuvi</t>
  </si>
  <si>
    <t>N/mm</t>
  </si>
  <si>
    <t>Huoneen suurin mitta</t>
  </si>
  <si>
    <t>Taipumarajan korotuskerroin</t>
  </si>
  <si>
    <r>
      <t>k</t>
    </r>
    <r>
      <rPr>
        <vertAlign val="subscript"/>
        <sz val="8"/>
        <rFont val="Arial"/>
        <family val="2"/>
      </rPr>
      <t>L</t>
    </r>
  </si>
  <si>
    <t>C24 50x175</t>
  </si>
  <si>
    <t>C24 50x200</t>
  </si>
  <si>
    <t>levy</t>
  </si>
  <si>
    <t>palkki</t>
  </si>
  <si>
    <r>
      <t>b</t>
    </r>
    <r>
      <rPr>
        <vertAlign val="subscript"/>
        <sz val="8"/>
        <rFont val="Arial"/>
        <family val="0"/>
      </rPr>
      <t>ef</t>
    </r>
  </si>
  <si>
    <r>
      <t>K</t>
    </r>
    <r>
      <rPr>
        <vertAlign val="subscript"/>
        <sz val="8"/>
        <rFont val="Arial"/>
        <family val="2"/>
      </rPr>
      <t>ser</t>
    </r>
  </si>
  <si>
    <t>ruuvi</t>
  </si>
  <si>
    <t>esiporaamaton naula</t>
  </si>
  <si>
    <r>
      <t>b</t>
    </r>
    <r>
      <rPr>
        <vertAlign val="subscript"/>
        <sz val="8"/>
        <rFont val="Arial"/>
        <family val="2"/>
      </rPr>
      <t>ef</t>
    </r>
  </si>
  <si>
    <r>
      <t>a</t>
    </r>
    <r>
      <rPr>
        <vertAlign val="subscript"/>
        <sz val="8"/>
        <rFont val="Arial"/>
        <family val="2"/>
      </rPr>
      <t>2</t>
    </r>
  </si>
  <si>
    <r>
      <t>a</t>
    </r>
    <r>
      <rPr>
        <vertAlign val="subscript"/>
        <sz val="8"/>
        <rFont val="Arial"/>
        <family val="2"/>
      </rPr>
      <t>1</t>
    </r>
  </si>
  <si>
    <r>
      <t>Nmm</t>
    </r>
    <r>
      <rPr>
        <b/>
        <vertAlign val="superscript"/>
        <sz val="8"/>
        <rFont val="Arial"/>
        <family val="2"/>
      </rPr>
      <t>2</t>
    </r>
    <r>
      <rPr>
        <b/>
        <sz val="8"/>
        <rFont val="Arial"/>
        <family val="2"/>
      </rPr>
      <t>/mm</t>
    </r>
  </si>
  <si>
    <r>
      <t>A</t>
    </r>
    <r>
      <rPr>
        <vertAlign val="subscript"/>
        <sz val="8"/>
        <rFont val="Arial"/>
        <family val="2"/>
      </rPr>
      <t>levy</t>
    </r>
  </si>
  <si>
    <r>
      <t>γ</t>
    </r>
    <r>
      <rPr>
        <vertAlign val="subscript"/>
        <sz val="8"/>
        <rFont val="Arial"/>
        <family val="2"/>
      </rPr>
      <t>levy</t>
    </r>
  </si>
  <si>
    <r>
      <t>γ</t>
    </r>
    <r>
      <rPr>
        <vertAlign val="subscript"/>
        <sz val="8"/>
        <rFont val="Arial"/>
        <family val="2"/>
      </rPr>
      <t>lauta</t>
    </r>
  </si>
  <si>
    <r>
      <t>A</t>
    </r>
    <r>
      <rPr>
        <vertAlign val="subscript"/>
        <sz val="8"/>
        <rFont val="Arial"/>
        <family val="2"/>
      </rPr>
      <t>lauta</t>
    </r>
  </si>
  <si>
    <t>Jäykisteen vaikutusleveys</t>
  </si>
  <si>
    <t>Välipohjan taipuma 1 kN:n pistekuormasta</t>
  </si>
  <si>
    <t xml:space="preserve">Yksittäisen palkin taipuma 1 kN:n pistekuormasta </t>
  </si>
  <si>
    <t>1 / 3</t>
  </si>
  <si>
    <t>2 / 3</t>
  </si>
  <si>
    <t>3 / 3</t>
  </si>
  <si>
    <r>
      <t>b</t>
    </r>
    <r>
      <rPr>
        <b/>
        <vertAlign val="subscript"/>
        <sz val="8"/>
        <rFont val="Arial"/>
        <family val="2"/>
      </rPr>
      <t>ef</t>
    </r>
  </si>
  <si>
    <r>
      <t>b</t>
    </r>
    <r>
      <rPr>
        <vertAlign val="subscript"/>
        <sz val="8"/>
        <rFont val="Arial"/>
        <family val="2"/>
      </rPr>
      <t>c,ef</t>
    </r>
  </si>
  <si>
    <r>
      <t>a</t>
    </r>
    <r>
      <rPr>
        <vertAlign val="subscript"/>
        <sz val="8"/>
        <rFont val="Arial"/>
        <family val="2"/>
      </rPr>
      <t>3</t>
    </r>
  </si>
  <si>
    <t>Ei jäykisteitä</t>
  </si>
  <si>
    <t>1 jäykistelinja</t>
  </si>
  <si>
    <t>2 jäykistelinjaa</t>
  </si>
  <si>
    <t>3 jäykistelinjaa</t>
  </si>
  <si>
    <t>Puuvälipohjan värähtelymitoitus (EC 5)</t>
  </si>
  <si>
    <t>4 reunaa tuettu</t>
  </si>
  <si>
    <t>2 reunaa tuettu</t>
  </si>
  <si>
    <r>
      <t>Nm</t>
    </r>
    <r>
      <rPr>
        <vertAlign val="superscript"/>
        <sz val="8"/>
        <rFont val="Arial"/>
        <family val="2"/>
      </rPr>
      <t>2</t>
    </r>
    <r>
      <rPr>
        <sz val="8"/>
        <rFont val="Arial"/>
        <family val="2"/>
      </rPr>
      <t>/m</t>
    </r>
  </si>
  <si>
    <r>
      <t>g</t>
    </r>
    <r>
      <rPr>
        <vertAlign val="subscript"/>
        <sz val="8"/>
        <rFont val="Arial"/>
        <family val="0"/>
      </rPr>
      <t>k</t>
    </r>
  </si>
  <si>
    <r>
      <t>q</t>
    </r>
    <r>
      <rPr>
        <vertAlign val="subscript"/>
        <sz val="8"/>
        <rFont val="Arial"/>
        <family val="0"/>
      </rPr>
      <t>k</t>
    </r>
  </si>
  <si>
    <t>B</t>
  </si>
  <si>
    <r>
      <t>f</t>
    </r>
    <r>
      <rPr>
        <vertAlign val="subscript"/>
        <sz val="8"/>
        <rFont val="Arial"/>
        <family val="0"/>
      </rPr>
      <t>1</t>
    </r>
  </si>
  <si>
    <t>Info</t>
  </si>
  <si>
    <t>Eurokoodi 5 / Suomen kansallinen liite</t>
  </si>
  <si>
    <t>Ei pintalaattaa</t>
  </si>
  <si>
    <t>E</t>
  </si>
  <si>
    <t>Liitintyyppi</t>
  </si>
  <si>
    <t>POIKITTAISJÄYKISTEET</t>
  </si>
  <si>
    <r>
      <t>(EI)</t>
    </r>
    <r>
      <rPr>
        <vertAlign val="subscript"/>
        <sz val="8"/>
        <rFont val="Arial"/>
        <family val="0"/>
      </rPr>
      <t>levy</t>
    </r>
  </si>
  <si>
    <r>
      <t>(EI)</t>
    </r>
    <r>
      <rPr>
        <vertAlign val="subscript"/>
        <sz val="8"/>
        <rFont val="Arial"/>
        <family val="2"/>
      </rPr>
      <t>palkki</t>
    </r>
  </si>
  <si>
    <r>
      <t>(EI)</t>
    </r>
    <r>
      <rPr>
        <vertAlign val="subscript"/>
        <sz val="8"/>
        <rFont val="Arial"/>
        <family val="0"/>
      </rPr>
      <t>liittorakenne</t>
    </r>
  </si>
  <si>
    <r>
      <t>(EI)</t>
    </r>
    <r>
      <rPr>
        <vertAlign val="subscript"/>
        <sz val="8"/>
        <rFont val="Arial"/>
        <family val="0"/>
      </rPr>
      <t>lauta</t>
    </r>
  </si>
  <si>
    <t>Välipohjan omapaino</t>
  </si>
  <si>
    <r>
      <t>Σ(EI)</t>
    </r>
    <r>
      <rPr>
        <vertAlign val="subscript"/>
        <sz val="8"/>
        <rFont val="Arial"/>
        <family val="0"/>
      </rPr>
      <t>L</t>
    </r>
  </si>
  <si>
    <r>
      <t>Σ(EI)</t>
    </r>
    <r>
      <rPr>
        <vertAlign val="subscript"/>
        <sz val="8"/>
        <rFont val="Arial"/>
        <family val="0"/>
      </rPr>
      <t>B</t>
    </r>
  </si>
  <si>
    <t>Ei liittorakennetta</t>
  </si>
  <si>
    <r>
      <t>A</t>
    </r>
    <r>
      <rPr>
        <vertAlign val="subscript"/>
        <sz val="8"/>
        <rFont val="Arial"/>
        <family val="2"/>
      </rPr>
      <t>palkki</t>
    </r>
  </si>
  <si>
    <t>Liittorakenteen huomiointi</t>
  </si>
  <si>
    <r>
      <t>b</t>
    </r>
    <r>
      <rPr>
        <b/>
        <vertAlign val="subscript"/>
        <sz val="8"/>
        <rFont val="Arial"/>
        <family val="2"/>
      </rPr>
      <t>ef,max</t>
    </r>
  </si>
  <si>
    <t>palkkijaon mukaan</t>
  </si>
  <si>
    <t>lastulevyn mukaan</t>
  </si>
  <si>
    <t>mitoituksessa käytettävä arvo</t>
  </si>
  <si>
    <r>
      <t>ρ</t>
    </r>
    <r>
      <rPr>
        <b/>
        <vertAlign val="subscript"/>
        <sz val="8"/>
        <rFont val="Arial"/>
        <family val="2"/>
      </rPr>
      <t>mean</t>
    </r>
  </si>
  <si>
    <r>
      <t>ρ</t>
    </r>
    <r>
      <rPr>
        <vertAlign val="subscript"/>
        <sz val="8"/>
        <rFont val="Arial"/>
        <family val="2"/>
      </rPr>
      <t>mean</t>
    </r>
  </si>
  <si>
    <r>
      <t>ρ</t>
    </r>
    <r>
      <rPr>
        <vertAlign val="subscript"/>
        <sz val="8"/>
        <rFont val="Arial"/>
        <family val="2"/>
      </rPr>
      <t>m</t>
    </r>
  </si>
  <si>
    <t>RIL 205 kaava 7.1</t>
  </si>
  <si>
    <r>
      <t>K</t>
    </r>
    <r>
      <rPr>
        <b/>
        <vertAlign val="subscript"/>
        <sz val="8"/>
        <rFont val="Arial"/>
        <family val="2"/>
      </rPr>
      <t>ser</t>
    </r>
  </si>
  <si>
    <r>
      <t>vain palkki (a</t>
    </r>
    <r>
      <rPr>
        <vertAlign val="subscript"/>
        <sz val="8"/>
        <rFont val="Arial"/>
        <family val="2"/>
      </rPr>
      <t>1</t>
    </r>
    <r>
      <rPr>
        <sz val="8"/>
        <rFont val="Arial"/>
        <family val="0"/>
      </rPr>
      <t xml:space="preserve"> = a</t>
    </r>
    <r>
      <rPr>
        <vertAlign val="subscript"/>
        <sz val="8"/>
        <rFont val="Arial"/>
        <family val="2"/>
      </rPr>
      <t>2</t>
    </r>
    <r>
      <rPr>
        <sz val="8"/>
        <rFont val="Arial"/>
        <family val="0"/>
      </rPr>
      <t>)</t>
    </r>
  </si>
  <si>
    <t>palkin jänneväli</t>
  </si>
  <si>
    <r>
      <t>(EI)</t>
    </r>
    <r>
      <rPr>
        <b/>
        <vertAlign val="subscript"/>
        <sz val="8"/>
        <rFont val="Arial"/>
        <family val="2"/>
      </rPr>
      <t>jäykiste</t>
    </r>
  </si>
  <si>
    <t>Taipumaraja</t>
  </si>
  <si>
    <r>
      <t>(EI)</t>
    </r>
    <r>
      <rPr>
        <vertAlign val="subscript"/>
        <sz val="8"/>
        <rFont val="Arial"/>
        <family val="0"/>
      </rPr>
      <t>palkki</t>
    </r>
  </si>
  <si>
    <t>etäisyys neutraaliakselista levyn painopisteeseen</t>
  </si>
  <si>
    <t>etäisyys neutraaliakselista vetolaudan painopisteeseen</t>
  </si>
  <si>
    <t>Tietoja ohjelmasta</t>
  </si>
  <si>
    <r>
      <t>K</t>
    </r>
    <r>
      <rPr>
        <vertAlign val="subscript"/>
        <sz val="8"/>
        <rFont val="Arial"/>
        <family val="2"/>
      </rPr>
      <t>ser</t>
    </r>
    <r>
      <rPr>
        <sz val="8"/>
        <rFont val="Arial"/>
        <family val="2"/>
      </rPr>
      <t xml:space="preserve"> </t>
    </r>
  </si>
  <si>
    <r>
      <t>d</t>
    </r>
    <r>
      <rPr>
        <b/>
        <vertAlign val="subscript"/>
        <sz val="8"/>
        <rFont val="Arial"/>
        <family val="2"/>
      </rPr>
      <t>ef</t>
    </r>
  </si>
  <si>
    <r>
      <t>E</t>
    </r>
    <r>
      <rPr>
        <b/>
        <vertAlign val="subscript"/>
        <sz val="8"/>
        <rFont val="Arial"/>
        <family val="2"/>
      </rPr>
      <t>0,mean</t>
    </r>
  </si>
  <si>
    <t xml:space="preserve">0,1L vaneri / leikkaus </t>
  </si>
  <si>
    <t>0,2L lastulevy / leikkaus</t>
  </si>
  <si>
    <t>Liittorakenne (palkki+levy)</t>
  </si>
  <si>
    <t>Neutraaliakseli (palkki+levy)</t>
  </si>
  <si>
    <t xml:space="preserve">Palkin jäykkyys </t>
  </si>
  <si>
    <t>Liittorakenne (poikittaisjäykiste)</t>
  </si>
  <si>
    <r>
      <t>γ</t>
    </r>
    <r>
      <rPr>
        <vertAlign val="subscript"/>
        <sz val="8"/>
        <rFont val="Arial"/>
        <family val="2"/>
      </rPr>
      <t>palkki</t>
    </r>
  </si>
  <si>
    <t>Neutraaliakseli (poikittaisjjäykiste)</t>
  </si>
  <si>
    <t>levyn taivutusjäykkyyden osuutta ei huomioida, koska levy huomioidaan erikseen poikittaiseen jäykkyyteen</t>
  </si>
  <si>
    <t>etäisyys neutraaliakselista palkin painopisteeseen</t>
  </si>
  <si>
    <t>työmaaliimaus</t>
  </si>
  <si>
    <t xml:space="preserve">Liittorakenne (palkki+levy) </t>
  </si>
  <si>
    <t>pelkkä palkki</t>
  </si>
  <si>
    <t>etäisyys neutraaliakselista välikapulan painopisteeseen</t>
  </si>
  <si>
    <r>
      <t>uumana toimivien välikapuloiden taivutusjäykkyys on 0 Nmm</t>
    </r>
    <r>
      <rPr>
        <vertAlign val="superscript"/>
        <sz val="8"/>
        <rFont val="Arial"/>
        <family val="2"/>
      </rPr>
      <t>2</t>
    </r>
    <r>
      <rPr>
        <sz val="8"/>
        <rFont val="Arial"/>
        <family val="0"/>
      </rPr>
      <t>/mm</t>
    </r>
  </si>
  <si>
    <r>
      <t>E</t>
    </r>
    <r>
      <rPr>
        <vertAlign val="subscript"/>
        <sz val="8"/>
        <rFont val="Arial"/>
        <family val="2"/>
      </rPr>
      <t>0,mean</t>
    </r>
  </si>
  <si>
    <t>Palkin kimmomoduuli</t>
  </si>
  <si>
    <t>Palkin poikkileikkauksen pinta-ala</t>
  </si>
  <si>
    <t>Välipohjan sallittu taipuma 1 kN:n pistekuormasta</t>
  </si>
  <si>
    <t>Palkkikirjasto</t>
  </si>
  <si>
    <t>Levykirjasto</t>
  </si>
  <si>
    <t>Merkintätapa</t>
  </si>
  <si>
    <t>Ominaistaajuus</t>
  </si>
  <si>
    <t>vetolauta</t>
  </si>
  <si>
    <t>C24 48x173</t>
  </si>
  <si>
    <t>C24 48x223</t>
  </si>
  <si>
    <t>C24 48x198</t>
  </si>
  <si>
    <t>C24 50x225</t>
  </si>
  <si>
    <t>Sallittu taipuma 1 kN</t>
  </si>
  <si>
    <t>Palkkityyppi</t>
  </si>
  <si>
    <t>C24 48x248</t>
  </si>
  <si>
    <t>C24 50x250</t>
  </si>
  <si>
    <t>GL30cs 42x270</t>
  </si>
  <si>
    <t>GL30cs 42x315</t>
  </si>
  <si>
    <t>GL30cs 42x360</t>
  </si>
  <si>
    <t>GL30cs 42x405</t>
  </si>
  <si>
    <t>GL30cs 56x270</t>
  </si>
  <si>
    <t>GL30cs 56x315</t>
  </si>
  <si>
    <t>GL30cs 56x360</t>
  </si>
  <si>
    <t>GL30cs 56x405</t>
  </si>
  <si>
    <t>GL30cs 66x270</t>
  </si>
  <si>
    <t>GL30cs 66x315</t>
  </si>
  <si>
    <t>GL30cs 66x360</t>
  </si>
  <si>
    <t>GL30cs 66x405</t>
  </si>
  <si>
    <t>I-palkki PRT 42x250/70</t>
  </si>
  <si>
    <t>I-palkki PRT 42x300/70</t>
  </si>
  <si>
    <t>I-palkki PRT 42x350/70</t>
  </si>
  <si>
    <t>I-palkki PRT 42x400/70</t>
  </si>
  <si>
    <t>I-palkki PRT 42x450/70</t>
  </si>
  <si>
    <t>I-palkki PRT 45x250/70</t>
  </si>
  <si>
    <t>I-palkki PRT 45x300/70</t>
  </si>
  <si>
    <t>I-palkki PRT 45x350/70</t>
  </si>
  <si>
    <t>I-palkki PRT 45x400/70</t>
  </si>
  <si>
    <t>I-palkki PRT 45x450/70</t>
  </si>
  <si>
    <t>TAIPUMA JA OMINAISTAAJUUS</t>
  </si>
  <si>
    <t>LIITTORAKENNE (massiivipalkki + levy)</t>
  </si>
  <si>
    <r>
      <t>I</t>
    </r>
    <r>
      <rPr>
        <vertAlign val="subscript"/>
        <sz val="8"/>
        <rFont val="Arial"/>
        <family val="2"/>
      </rPr>
      <t>y,levy</t>
    </r>
  </si>
  <si>
    <r>
      <t>I</t>
    </r>
    <r>
      <rPr>
        <vertAlign val="subscript"/>
        <sz val="8"/>
        <rFont val="Arial"/>
        <family val="2"/>
      </rPr>
      <t>y,lauta</t>
    </r>
  </si>
  <si>
    <r>
      <t>I</t>
    </r>
    <r>
      <rPr>
        <b/>
        <vertAlign val="subscript"/>
        <sz val="8"/>
        <rFont val="Arial"/>
        <family val="2"/>
      </rPr>
      <t>y</t>
    </r>
  </si>
  <si>
    <t>VÄLIPOHJAN OMINAISUUDET</t>
  </si>
  <si>
    <t>Tiheys</t>
  </si>
  <si>
    <t>Kansirakenne</t>
  </si>
  <si>
    <t>Paino</t>
  </si>
  <si>
    <r>
      <t>E</t>
    </r>
    <r>
      <rPr>
        <vertAlign val="subscript"/>
        <sz val="8"/>
        <rFont val="Arial"/>
        <family val="2"/>
      </rPr>
      <t>mean,L</t>
    </r>
  </si>
  <si>
    <r>
      <t>E</t>
    </r>
    <r>
      <rPr>
        <vertAlign val="subscript"/>
        <sz val="8"/>
        <rFont val="Arial"/>
        <family val="2"/>
      </rPr>
      <t>mean,B</t>
    </r>
  </si>
  <si>
    <r>
      <t>I</t>
    </r>
    <r>
      <rPr>
        <vertAlign val="subscript"/>
        <sz val="8"/>
        <rFont val="Arial"/>
        <family val="2"/>
      </rPr>
      <t>y,B</t>
    </r>
  </si>
  <si>
    <t>Koolaus</t>
  </si>
  <si>
    <t>Leveys</t>
  </si>
  <si>
    <t>Korkeus</t>
  </si>
  <si>
    <t>K-jako</t>
  </si>
  <si>
    <t>YHTEENSÄ</t>
  </si>
  <si>
    <t>Kansirakenteen jäykkyys suunnassa B</t>
  </si>
  <si>
    <t>Kansirakenteen tyyppi</t>
  </si>
  <si>
    <t>Tuentatapa</t>
  </si>
  <si>
    <t>1.0 VÄLIPOHJAN RAKENNE</t>
  </si>
  <si>
    <r>
      <t>E</t>
    </r>
    <r>
      <rPr>
        <b/>
        <vertAlign val="subscript"/>
        <sz val="8"/>
        <rFont val="Arial"/>
        <family val="2"/>
      </rPr>
      <t>mean,B</t>
    </r>
  </si>
  <si>
    <r>
      <t>E</t>
    </r>
    <r>
      <rPr>
        <b/>
        <vertAlign val="subscript"/>
        <sz val="8"/>
        <rFont val="Arial"/>
        <family val="2"/>
      </rPr>
      <t>mean,L</t>
    </r>
  </si>
  <si>
    <r>
      <t>25h</t>
    </r>
    <r>
      <rPr>
        <vertAlign val="subscript"/>
        <sz val="8"/>
        <rFont val="Arial"/>
        <family val="2"/>
      </rPr>
      <t>f</t>
    </r>
    <r>
      <rPr>
        <sz val="8"/>
        <rFont val="Arial"/>
        <family val="2"/>
      </rPr>
      <t xml:space="preserve"> OSB / lommahdus </t>
    </r>
  </si>
  <si>
    <t xml:space="preserve">0,15L OSB / leikkaus </t>
  </si>
  <si>
    <t>Havuvanerilevy - 18 - 6 ply - (2400) x 1200</t>
  </si>
  <si>
    <t>Havuvanerilevy - 18 - 7 ply - (2400) x 1200</t>
  </si>
  <si>
    <t>Havuvanerilevy - 21 - 7 ply - (2400) x 1200</t>
  </si>
  <si>
    <t>Havuvanerilevy - 24 - 8 ply - (2400) x 1200</t>
  </si>
  <si>
    <t>Havuvanerilevy - 24 - 9 ply - (2400) x 1200</t>
  </si>
  <si>
    <t>Havuvanerilevy - 27 - 9 ply - (2400) x 1200</t>
  </si>
  <si>
    <t>Havuvanerilevy - 30 - 10 ply - (2400) x 1200</t>
  </si>
  <si>
    <t>OSB / 4</t>
  </si>
  <si>
    <t>Lastulevy P6 - 22 - (2400) x 600 / 1200</t>
  </si>
  <si>
    <t>Lastulevy P6 - 30 - (2400) x 600 / 1200</t>
  </si>
  <si>
    <r>
      <t>E</t>
    </r>
    <r>
      <rPr>
        <b/>
        <vertAlign val="subscript"/>
        <sz val="8"/>
        <rFont val="Arial"/>
        <family val="2"/>
      </rPr>
      <t>c,mean,L</t>
    </r>
  </si>
  <si>
    <t>OSB / 4 - 18 - (5000) x 2500 (Big Size)</t>
  </si>
  <si>
    <t>OSB / 4 - 20 - (5000) x 2500 (Big Size)</t>
  </si>
  <si>
    <t>OSB / 4 - 25 - (5000) x 2500 (Big Size)</t>
  </si>
  <si>
    <t>OSB / 4 - 22 - (5000) x 2500 (Big Size)</t>
  </si>
  <si>
    <t>Levytyyppi</t>
  </si>
  <si>
    <t>2 reunaa tuettu  (reunapalkki + kansi + pintalaatta vapaana)</t>
  </si>
  <si>
    <r>
      <t>kg/m</t>
    </r>
    <r>
      <rPr>
        <vertAlign val="superscript"/>
        <sz val="8"/>
        <rFont val="Arial"/>
        <family val="2"/>
      </rPr>
      <t>3</t>
    </r>
  </si>
  <si>
    <r>
      <t>E</t>
    </r>
    <r>
      <rPr>
        <vertAlign val="subscript"/>
        <sz val="8"/>
        <rFont val="Arial"/>
        <family val="2"/>
      </rPr>
      <t>c,mean,L</t>
    </r>
  </si>
  <si>
    <t>Liittorakenteeseen</t>
  </si>
  <si>
    <t>levyn taivutuskimmomoduuli suunnassa L</t>
  </si>
  <si>
    <t>levyn taivutuskimmomoduuli suunnassa B</t>
  </si>
  <si>
    <t>Palkki</t>
  </si>
  <si>
    <t>Betonivalu - 50 - (E=20000 N/mm2)</t>
  </si>
  <si>
    <t>Betonivalu - 60 - (E=20000 N/mm2)</t>
  </si>
  <si>
    <t>Betonivalu - 70 - (E=20000 N/mm2)</t>
  </si>
  <si>
    <t>Betonivalu - 80 - (E=20000 N/mm2)</t>
  </si>
  <si>
    <t>Kipsivalu - 20 - (E=17000 N/mm2)</t>
  </si>
  <si>
    <t>Kipsivalu - 25 - (E=17000 N/mm2)</t>
  </si>
  <si>
    <t>Kipsivalu - 30 - (E=17000 N/mm2)</t>
  </si>
  <si>
    <t>Kipsivalu - 35 - (E=17000 N/mm2)</t>
  </si>
  <si>
    <t>Kipsivalu - 40 - (E=17000 N/mm2)</t>
  </si>
  <si>
    <t>Kipsivalu - 45 - (E=17000 N/mm2)</t>
  </si>
  <si>
    <t>Kipsivalu - 50 - (E=17000 N/mm2)</t>
  </si>
  <si>
    <t>Kipsivalu - 55 - (E=17000 N/mm2)</t>
  </si>
  <si>
    <t>Kipsivalu - 60 - (E=17000 N/mm2)</t>
  </si>
  <si>
    <t>Kipsivalu - 65 - (E=17000 N/mm2)</t>
  </si>
  <si>
    <t>Kipsivalu - 70 - (E=17000 N/mm2)</t>
  </si>
  <si>
    <t>Kipsivalu - 75 - (E=17000 N/mm2)</t>
  </si>
  <si>
    <t>Kipsivalu - 80 - (E=17000 N/mm2)</t>
  </si>
  <si>
    <t>Plaanovalu - 20 - (E=12000 N/mm2)</t>
  </si>
  <si>
    <t>Plaanovalu - 25 - (E=12000 N/mm2)</t>
  </si>
  <si>
    <t>Plaanovalu - 30 - (E=12000 N/mm2)</t>
  </si>
  <si>
    <t>Plaanovalu - 35 - (E=12000 N/mm2)</t>
  </si>
  <si>
    <t>Plaanovalu - 40 - (E=12000 N/mm2)</t>
  </si>
  <si>
    <t>Plaanovalu - 45 - (E=12000 N/mm2)</t>
  </si>
  <si>
    <t>Plaanovalu - 50 - (E=12000 N/mm2)</t>
  </si>
  <si>
    <r>
      <t>L</t>
    </r>
    <r>
      <rPr>
        <sz val="8"/>
        <rFont val="Arial"/>
        <family val="0"/>
      </rPr>
      <t xml:space="preserve"> =</t>
    </r>
  </si>
  <si>
    <t>k =</t>
  </si>
  <si>
    <t>Liittimien k-jako</t>
  </si>
  <si>
    <t>2.0 VÄLIPOHJAN KUORMAT</t>
  </si>
  <si>
    <t>Palkkijako</t>
  </si>
  <si>
    <t>Jänneväli</t>
  </si>
  <si>
    <t>3.0 MITOITUSTULOKSET</t>
  </si>
  <si>
    <t>Liimaustapa</t>
  </si>
  <si>
    <t>Lastulevy P6 / P7</t>
  </si>
  <si>
    <t>Havuvanerilevy / Kerto-Q-levy</t>
  </si>
  <si>
    <t>vanerin ja Kerto-Q:n mukaan</t>
  </si>
  <si>
    <t>OSB:n mukaan</t>
  </si>
  <si>
    <r>
      <t>30h</t>
    </r>
    <r>
      <rPr>
        <vertAlign val="subscript"/>
        <sz val="8"/>
        <rFont val="Arial"/>
        <family val="2"/>
      </rPr>
      <t>f</t>
    </r>
    <r>
      <rPr>
        <sz val="8"/>
        <rFont val="Arial"/>
        <family val="2"/>
      </rPr>
      <t xml:space="preserve"> lastulevy / lommahdus </t>
    </r>
  </si>
  <si>
    <r>
      <t>I</t>
    </r>
    <r>
      <rPr>
        <vertAlign val="subscript"/>
        <sz val="8"/>
        <rFont val="Arial"/>
        <family val="2"/>
      </rPr>
      <t>y,palkki</t>
    </r>
  </si>
  <si>
    <r>
      <t>h</t>
    </r>
    <r>
      <rPr>
        <vertAlign val="subscript"/>
        <sz val="8"/>
        <rFont val="Arial"/>
        <family val="2"/>
      </rPr>
      <t>palkki</t>
    </r>
  </si>
  <si>
    <r>
      <t>b</t>
    </r>
    <r>
      <rPr>
        <vertAlign val="subscript"/>
        <sz val="8"/>
        <rFont val="Arial"/>
        <family val="2"/>
      </rPr>
      <t>palkki</t>
    </r>
  </si>
  <si>
    <t>naulaus, ruuvaus, tehdasliimaus</t>
  </si>
  <si>
    <t>Tyyppi</t>
  </si>
  <si>
    <t>Elementtirakenteinen</t>
  </si>
  <si>
    <t>Paikalla rakennettu</t>
  </si>
  <si>
    <t>B =</t>
  </si>
  <si>
    <t>Levy + Palikat + Lauta</t>
  </si>
  <si>
    <t>Lauta + Palikat + Lauta</t>
  </si>
  <si>
    <t>Poikittaisjäykisteen jänneväli</t>
  </si>
  <si>
    <t>Välikapuloiden liitos kansilevyyn</t>
  </si>
  <si>
    <t>Liitinjako</t>
  </si>
  <si>
    <t>Välikapuloiden liitos vetolautaan</t>
  </si>
  <si>
    <t xml:space="preserve">Vetolauta </t>
  </si>
  <si>
    <t>C18 20x98</t>
  </si>
  <si>
    <t xml:space="preserve">Vetolautana aina C18 20x98 </t>
  </si>
  <si>
    <t xml:space="preserve">2,5x60 </t>
  </si>
  <si>
    <r>
      <t>E</t>
    </r>
    <r>
      <rPr>
        <b/>
        <vertAlign val="subscript"/>
        <sz val="8"/>
        <rFont val="Arial"/>
        <family val="2"/>
      </rPr>
      <t>c,mean,B</t>
    </r>
  </si>
  <si>
    <r>
      <t>E</t>
    </r>
    <r>
      <rPr>
        <vertAlign val="subscript"/>
        <sz val="8"/>
        <rFont val="Arial"/>
        <family val="2"/>
      </rPr>
      <t>c,mean,B</t>
    </r>
  </si>
  <si>
    <t>levyn puristuskimmomoduuli suunnassa L</t>
  </si>
  <si>
    <t>levyn puristuskimmomoduuli suunnassa B</t>
  </si>
  <si>
    <t xml:space="preserve">Veto- ja puristuslautana aina C18 20x98 </t>
  </si>
  <si>
    <t>Välikapula</t>
  </si>
  <si>
    <t>Välikapuloiden liitos puristuslautaan</t>
  </si>
  <si>
    <r>
      <t>γ</t>
    </r>
    <r>
      <rPr>
        <vertAlign val="subscript"/>
        <sz val="8"/>
        <rFont val="Arial"/>
        <family val="2"/>
      </rPr>
      <t>puristuslauta</t>
    </r>
  </si>
  <si>
    <r>
      <t>γ</t>
    </r>
    <r>
      <rPr>
        <vertAlign val="subscript"/>
        <sz val="8"/>
        <rFont val="Arial"/>
        <family val="2"/>
      </rPr>
      <t>vetolauta</t>
    </r>
  </si>
  <si>
    <t>etäisyys neutraaliakselista puristuslaudan painopisteeseen</t>
  </si>
  <si>
    <t>Palkiston jäykkyys suunnassa L</t>
  </si>
  <si>
    <t>Jäykkyys suunnassa L</t>
  </si>
  <si>
    <r>
      <t>(EI)</t>
    </r>
    <r>
      <rPr>
        <vertAlign val="subscript"/>
        <sz val="8"/>
        <rFont val="Arial"/>
        <family val="2"/>
      </rPr>
      <t>B</t>
    </r>
  </si>
  <si>
    <t xml:space="preserve">Pintalaatan jäykkyys suunnassa L </t>
  </si>
  <si>
    <r>
      <t>(EI)</t>
    </r>
    <r>
      <rPr>
        <vertAlign val="subscript"/>
        <sz val="8"/>
        <rFont val="Arial"/>
        <family val="2"/>
      </rPr>
      <t>L</t>
    </r>
  </si>
  <si>
    <t xml:space="preserve">Pintalaatan jäykkyys suunnassa B </t>
  </si>
  <si>
    <r>
      <t>(EI)</t>
    </r>
    <r>
      <rPr>
        <vertAlign val="subscript"/>
        <sz val="8"/>
        <rFont val="Arial"/>
        <family val="2"/>
      </rPr>
      <t>B,levy</t>
    </r>
  </si>
  <si>
    <r>
      <t>(EI)</t>
    </r>
    <r>
      <rPr>
        <b/>
        <vertAlign val="subscript"/>
        <sz val="8"/>
        <rFont val="Arial"/>
        <family val="2"/>
      </rPr>
      <t>B,kansi</t>
    </r>
  </si>
  <si>
    <r>
      <t>(EI)</t>
    </r>
    <r>
      <rPr>
        <vertAlign val="subscript"/>
        <sz val="8"/>
        <rFont val="Arial"/>
        <family val="2"/>
      </rPr>
      <t>B,koolaus</t>
    </r>
  </si>
  <si>
    <t>Poikittaisjäykisteen jäykkyys suunnassa B</t>
  </si>
  <si>
    <r>
      <t>Σ(EI)</t>
    </r>
    <r>
      <rPr>
        <b/>
        <vertAlign val="subscript"/>
        <sz val="8"/>
        <rFont val="Arial"/>
        <family val="2"/>
      </rPr>
      <t>L</t>
    </r>
  </si>
  <si>
    <r>
      <t>Σ(EI)</t>
    </r>
    <r>
      <rPr>
        <b/>
        <vertAlign val="subscript"/>
        <sz val="8"/>
        <rFont val="Arial"/>
        <family val="2"/>
      </rPr>
      <t>B</t>
    </r>
  </si>
  <si>
    <t>Kansirakenteen toiminta</t>
  </si>
  <si>
    <t>Taipuma 1 kN:n pistekuormasta</t>
  </si>
  <si>
    <r>
      <t>g</t>
    </r>
    <r>
      <rPr>
        <vertAlign val="subscript"/>
        <sz val="8"/>
        <rFont val="Arial"/>
        <family val="2"/>
      </rPr>
      <t>k</t>
    </r>
    <r>
      <rPr>
        <sz val="8"/>
        <rFont val="Arial"/>
        <family val="0"/>
      </rPr>
      <t xml:space="preserve"> =</t>
    </r>
  </si>
  <si>
    <t>m</t>
  </si>
  <si>
    <r>
      <t>f</t>
    </r>
    <r>
      <rPr>
        <b/>
        <vertAlign val="subscript"/>
        <sz val="8"/>
        <rFont val="Arial"/>
        <family val="2"/>
      </rPr>
      <t>1</t>
    </r>
  </si>
  <si>
    <t>Muuttuvan kuorman pysyvä osuus</t>
  </si>
  <si>
    <t>δ</t>
  </si>
  <si>
    <t>Taipuma (1 kN)</t>
  </si>
  <si>
    <r>
      <t>f</t>
    </r>
    <r>
      <rPr>
        <b/>
        <vertAlign val="subscript"/>
        <sz val="10"/>
        <rFont val="Arial"/>
        <family val="2"/>
      </rPr>
      <t>1</t>
    </r>
  </si>
  <si>
    <t>Jäykkyyden lisäämisen menetelmät</t>
  </si>
  <si>
    <t>Virheilmoitusten ohjaus</t>
  </si>
  <si>
    <t>OMA</t>
  </si>
  <si>
    <t>OSB / 4 - 18 - (2400) x 600 / 1200</t>
  </si>
  <si>
    <t>OSB / 4 - 20 - (2400) x 600 / 1201</t>
  </si>
  <si>
    <t>OSB / 4 - 22 - (2400) x 600 / 1202</t>
  </si>
  <si>
    <t>Liitinpituus</t>
  </si>
  <si>
    <t>Vaadittu</t>
  </si>
  <si>
    <t>Toteutunut</t>
  </si>
  <si>
    <t>EHTO</t>
  </si>
  <si>
    <t>paksuus</t>
  </si>
  <si>
    <t xml:space="preserve">Koolaus C18 48x48 k400 / Havuvaneri - 18 - 6 ply </t>
  </si>
  <si>
    <t xml:space="preserve">Koolaus C18 48x73 k400 / Havuvaneri - 18 - 6 ply </t>
  </si>
  <si>
    <t xml:space="preserve">Koolaus C24 98x48 k400 / Havuvaneri - 18 - 6 ply </t>
  </si>
  <si>
    <t xml:space="preserve">Koolaus C24 48x98 k400 / Havuvaneri - 18 - 6 ply </t>
  </si>
  <si>
    <t xml:space="preserve">Koolaus C18 48x48 k400 / Lastulevy P6 - 22 </t>
  </si>
  <si>
    <t xml:space="preserve">Koolaus C18 48x73 k400 / Lastulevy P6 - 22 </t>
  </si>
  <si>
    <t>Koolaus C24 98x48 k400 / Lastulevy P6 - 22</t>
  </si>
  <si>
    <t>Koolaus C24 48x98 k400 / Lastulevy P6 - 22</t>
  </si>
  <si>
    <t xml:space="preserve">Koolaus C18 100x32 k300 / Lattiakipsilevy - 2x 15 (E=4000 N/mm2) </t>
  </si>
  <si>
    <t xml:space="preserve">Koolaus C18 100x38 k300 / Lattiakipsilevy - 2x 15 (E=4000 N/mm2) </t>
  </si>
  <si>
    <t xml:space="preserve">Koolaus C24 98x48 k300 / Lattiakipsilevy - 2x 15 (E=4000 N/mm2) </t>
  </si>
  <si>
    <r>
      <t>Nm</t>
    </r>
    <r>
      <rPr>
        <b/>
        <vertAlign val="superscript"/>
        <sz val="8"/>
        <rFont val="Arial"/>
        <family val="2"/>
      </rPr>
      <t>2</t>
    </r>
    <r>
      <rPr>
        <b/>
        <sz val="8"/>
        <rFont val="Arial"/>
        <family val="2"/>
      </rPr>
      <t>/m</t>
    </r>
  </si>
  <si>
    <r>
      <t>(EI)</t>
    </r>
    <r>
      <rPr>
        <b/>
        <vertAlign val="subscript"/>
        <sz val="8"/>
        <rFont val="Arial"/>
        <family val="0"/>
      </rPr>
      <t>L</t>
    </r>
  </si>
  <si>
    <r>
      <t>Nm</t>
    </r>
    <r>
      <rPr>
        <b/>
        <vertAlign val="superscript"/>
        <sz val="8"/>
        <rFont val="Arial"/>
        <family val="0"/>
      </rPr>
      <t>2</t>
    </r>
    <r>
      <rPr>
        <b/>
        <sz val="8"/>
        <rFont val="Arial"/>
        <family val="0"/>
      </rPr>
      <t>/m</t>
    </r>
  </si>
  <si>
    <t>JÄYKKYYDET SUUNNISSA L JA B</t>
  </si>
  <si>
    <r>
      <t>k</t>
    </r>
    <r>
      <rPr>
        <vertAlign val="subscript"/>
        <sz val="8"/>
        <rFont val="Arial"/>
        <family val="0"/>
      </rPr>
      <t>L</t>
    </r>
  </si>
  <si>
    <r>
      <t>k</t>
    </r>
    <r>
      <rPr>
        <vertAlign val="subscript"/>
        <sz val="8"/>
        <rFont val="Arial"/>
        <family val="0"/>
      </rPr>
      <t>δ</t>
    </r>
  </si>
  <si>
    <r>
      <t>δ</t>
    </r>
    <r>
      <rPr>
        <vertAlign val="subscript"/>
        <sz val="8"/>
        <rFont val="Arial"/>
        <family val="0"/>
      </rPr>
      <t>sallittu</t>
    </r>
  </si>
  <si>
    <r>
      <t>δ</t>
    </r>
    <r>
      <rPr>
        <vertAlign val="subscript"/>
        <sz val="8"/>
        <rFont val="Arial"/>
        <family val="0"/>
      </rPr>
      <t>laatta</t>
    </r>
  </si>
  <si>
    <r>
      <t>δ</t>
    </r>
    <r>
      <rPr>
        <vertAlign val="subscript"/>
        <sz val="8"/>
        <rFont val="Arial"/>
        <family val="0"/>
      </rPr>
      <t>palkki</t>
    </r>
  </si>
  <si>
    <t>kg/m2</t>
  </si>
  <si>
    <r>
      <t>Nm</t>
    </r>
    <r>
      <rPr>
        <vertAlign val="superscript"/>
        <sz val="8"/>
        <rFont val="Arial"/>
        <family val="0"/>
      </rPr>
      <t>2</t>
    </r>
    <r>
      <rPr>
        <sz val="8"/>
        <rFont val="Arial"/>
        <family val="0"/>
      </rPr>
      <t>/m</t>
    </r>
  </si>
  <si>
    <r>
      <t>m</t>
    </r>
    <r>
      <rPr>
        <vertAlign val="subscript"/>
        <sz val="8"/>
        <rFont val="Arial"/>
        <family val="0"/>
      </rPr>
      <t>1</t>
    </r>
  </si>
  <si>
    <r>
      <t>kg/m</t>
    </r>
    <r>
      <rPr>
        <vertAlign val="superscript"/>
        <sz val="8"/>
        <rFont val="Arial"/>
        <family val="0"/>
      </rPr>
      <t>2</t>
    </r>
  </si>
  <si>
    <r>
      <t>m</t>
    </r>
    <r>
      <rPr>
        <vertAlign val="subscript"/>
        <sz val="8"/>
        <rFont val="Arial"/>
        <family val="0"/>
      </rPr>
      <t>2</t>
    </r>
  </si>
  <si>
    <t>Levyn puristuskimmomoduuli suunnassa L</t>
  </si>
  <si>
    <t>Levyn puristuskimmomoduuli suunnassa B</t>
  </si>
  <si>
    <t>Levyn taivutuskimmomoduuli suunnassa L</t>
  </si>
  <si>
    <t>Palkin jäyhyysmomentti</t>
  </si>
  <si>
    <r>
      <t>K</t>
    </r>
    <r>
      <rPr>
        <vertAlign val="subscript"/>
        <sz val="8"/>
        <rFont val="Arial"/>
        <family val="0"/>
      </rPr>
      <t>ser</t>
    </r>
    <r>
      <rPr>
        <sz val="8"/>
        <rFont val="Arial"/>
        <family val="0"/>
      </rPr>
      <t xml:space="preserve"> </t>
    </r>
  </si>
  <si>
    <r>
      <t>γ</t>
    </r>
    <r>
      <rPr>
        <vertAlign val="subscript"/>
        <sz val="8"/>
        <rFont val="Arial"/>
        <family val="0"/>
      </rPr>
      <t>levy</t>
    </r>
  </si>
  <si>
    <r>
      <t>γ</t>
    </r>
    <r>
      <rPr>
        <vertAlign val="subscript"/>
        <sz val="8"/>
        <rFont val="Arial"/>
        <family val="0"/>
      </rPr>
      <t>palkki</t>
    </r>
  </si>
  <si>
    <r>
      <t>a</t>
    </r>
    <r>
      <rPr>
        <vertAlign val="subscript"/>
        <sz val="8"/>
        <rFont val="Arial"/>
        <family val="0"/>
      </rPr>
      <t>1</t>
    </r>
  </si>
  <si>
    <r>
      <t>a</t>
    </r>
    <r>
      <rPr>
        <vertAlign val="subscript"/>
        <sz val="8"/>
        <rFont val="Arial"/>
        <family val="0"/>
      </rPr>
      <t>2</t>
    </r>
  </si>
  <si>
    <r>
      <t>E</t>
    </r>
    <r>
      <rPr>
        <vertAlign val="subscript"/>
        <sz val="8"/>
        <rFont val="Arial"/>
        <family val="0"/>
      </rPr>
      <t>0</t>
    </r>
    <r>
      <rPr>
        <sz val="8"/>
        <rFont val="Arial"/>
        <family val="0"/>
      </rPr>
      <t>,</t>
    </r>
    <r>
      <rPr>
        <vertAlign val="subscript"/>
        <sz val="8"/>
        <rFont val="Arial"/>
        <family val="0"/>
      </rPr>
      <t>mean</t>
    </r>
  </si>
  <si>
    <r>
      <t>N/mm</t>
    </r>
    <r>
      <rPr>
        <vertAlign val="superscript"/>
        <sz val="8"/>
        <rFont val="Arial"/>
        <family val="0"/>
      </rPr>
      <t>2</t>
    </r>
  </si>
  <si>
    <r>
      <t>E</t>
    </r>
    <r>
      <rPr>
        <vertAlign val="subscript"/>
        <sz val="8"/>
        <rFont val="Arial"/>
        <family val="0"/>
      </rPr>
      <t>c,mean,L</t>
    </r>
  </si>
  <si>
    <r>
      <t>E</t>
    </r>
    <r>
      <rPr>
        <vertAlign val="subscript"/>
        <sz val="8"/>
        <rFont val="Arial"/>
        <family val="0"/>
      </rPr>
      <t>c,mean,B</t>
    </r>
  </si>
  <si>
    <r>
      <t>E</t>
    </r>
    <r>
      <rPr>
        <vertAlign val="subscript"/>
        <sz val="8"/>
        <rFont val="Arial"/>
        <family val="0"/>
      </rPr>
      <t>mean,L</t>
    </r>
  </si>
  <si>
    <r>
      <t>A</t>
    </r>
    <r>
      <rPr>
        <vertAlign val="subscript"/>
        <sz val="8"/>
        <rFont val="Arial"/>
        <family val="0"/>
      </rPr>
      <t>palkki</t>
    </r>
  </si>
  <si>
    <r>
      <t>mm</t>
    </r>
    <r>
      <rPr>
        <vertAlign val="superscript"/>
        <sz val="8"/>
        <rFont val="Arial"/>
        <family val="0"/>
      </rPr>
      <t>2</t>
    </r>
  </si>
  <si>
    <r>
      <t>I</t>
    </r>
    <r>
      <rPr>
        <vertAlign val="subscript"/>
        <sz val="8"/>
        <rFont val="Arial"/>
        <family val="0"/>
      </rPr>
      <t>y,palkki</t>
    </r>
  </si>
  <si>
    <r>
      <t>mm</t>
    </r>
    <r>
      <rPr>
        <vertAlign val="superscript"/>
        <sz val="8"/>
        <rFont val="Arial"/>
        <family val="0"/>
      </rPr>
      <t>4</t>
    </r>
  </si>
  <si>
    <r>
      <t>A</t>
    </r>
    <r>
      <rPr>
        <vertAlign val="subscript"/>
        <sz val="8"/>
        <rFont val="Arial"/>
        <family val="0"/>
      </rPr>
      <t>levy</t>
    </r>
  </si>
  <si>
    <r>
      <t>I</t>
    </r>
    <r>
      <rPr>
        <vertAlign val="subscript"/>
        <sz val="8"/>
        <rFont val="Arial"/>
        <family val="0"/>
      </rPr>
      <t>y,levy</t>
    </r>
  </si>
  <si>
    <r>
      <t>(EI)</t>
    </r>
    <r>
      <rPr>
        <vertAlign val="subscript"/>
        <sz val="8"/>
        <rFont val="Arial"/>
        <family val="0"/>
      </rPr>
      <t>L,pintalaatta</t>
    </r>
  </si>
  <si>
    <r>
      <t>(EI)</t>
    </r>
    <r>
      <rPr>
        <vertAlign val="subscript"/>
        <sz val="8"/>
        <rFont val="Arial"/>
        <family val="0"/>
      </rPr>
      <t>L,palkisto</t>
    </r>
  </si>
  <si>
    <r>
      <t>(EI)</t>
    </r>
    <r>
      <rPr>
        <vertAlign val="subscript"/>
        <sz val="8"/>
        <rFont val="Arial"/>
        <family val="0"/>
      </rPr>
      <t>B,pintalaatta</t>
    </r>
  </si>
  <si>
    <r>
      <t>(EI)</t>
    </r>
    <r>
      <rPr>
        <vertAlign val="subscript"/>
        <sz val="8"/>
        <rFont val="Arial"/>
        <family val="0"/>
      </rPr>
      <t>B,kansirakenne</t>
    </r>
  </si>
  <si>
    <r>
      <t>(EI)</t>
    </r>
    <r>
      <rPr>
        <vertAlign val="subscript"/>
        <sz val="8"/>
        <rFont val="Arial"/>
        <family val="0"/>
      </rPr>
      <t>B,jäykiste</t>
    </r>
  </si>
  <si>
    <t>Levyn tehollinen leveys (liittorakenne)</t>
  </si>
  <si>
    <t>Levyn tehollinen pinta-ala (liittorakenne)</t>
  </si>
  <si>
    <t>Levyn tehollinen jäyhyysmomentti (liittorakenne)</t>
  </si>
  <si>
    <t>γ-kerroin levylle (liittorakenne)</t>
  </si>
  <si>
    <t>γ-kerroin palkille (liittorakenne)</t>
  </si>
  <si>
    <t>Poikkileikkaus suunnassa L</t>
  </si>
  <si>
    <t>Laudan kimmomoduuli</t>
  </si>
  <si>
    <r>
      <t>A</t>
    </r>
    <r>
      <rPr>
        <vertAlign val="subscript"/>
        <sz val="8"/>
        <rFont val="Arial"/>
        <family val="0"/>
      </rPr>
      <t>lauta</t>
    </r>
  </si>
  <si>
    <r>
      <t>γ</t>
    </r>
    <r>
      <rPr>
        <vertAlign val="subscript"/>
        <sz val="8"/>
        <rFont val="Arial"/>
        <family val="0"/>
      </rPr>
      <t>lauta</t>
    </r>
  </si>
  <si>
    <r>
      <t>I</t>
    </r>
    <r>
      <rPr>
        <vertAlign val="subscript"/>
        <sz val="8"/>
        <rFont val="Arial"/>
        <family val="0"/>
      </rPr>
      <t>y,lauta</t>
    </r>
  </si>
  <si>
    <r>
      <t>b</t>
    </r>
    <r>
      <rPr>
        <vertAlign val="subscript"/>
        <sz val="8"/>
        <rFont val="Arial"/>
        <family val="0"/>
      </rPr>
      <t>ef,levy</t>
    </r>
  </si>
  <si>
    <t>Levyn / palkin liittimen siirtymäkerroin (liittorakenne)</t>
  </si>
  <si>
    <t>Laudan pinta-ala (liittorakenne)</t>
  </si>
  <si>
    <t>Laudan jäyhyysmomentti</t>
  </si>
  <si>
    <t>γ-kerroin laudalle (liittorakenne)</t>
  </si>
  <si>
    <t>Laudan / palkin liittimen siirtymäkerroin (liittorakenne)</t>
  </si>
  <si>
    <t>1 = I-palkki</t>
  </si>
  <si>
    <t>0 = palkki</t>
  </si>
  <si>
    <t>palkin korkeus</t>
  </si>
  <si>
    <t>palkin leveys</t>
  </si>
  <si>
    <t>I-palkin uuma</t>
  </si>
  <si>
    <t>I-palkin paarteen korkeus</t>
  </si>
  <si>
    <t>I-palkin uuman upotus</t>
  </si>
  <si>
    <t>I-palkin uuman viiste</t>
  </si>
  <si>
    <t>tuplaus</t>
  </si>
  <si>
    <t>kansi</t>
  </si>
  <si>
    <t>levyn paksuus</t>
  </si>
  <si>
    <t>koolauksen korkeus</t>
  </si>
  <si>
    <t>koolauksen leveys</t>
  </si>
  <si>
    <t>tuplaus päällä (2)</t>
  </si>
  <si>
    <t>koolaus</t>
  </si>
  <si>
    <t>vinoviivoitus</t>
  </si>
  <si>
    <t>skaala</t>
  </si>
  <si>
    <t>kannen leveys</t>
  </si>
  <si>
    <t>askellus</t>
  </si>
  <si>
    <t>pintalaatta</t>
  </si>
  <si>
    <t>pintalaatan paksuus</t>
  </si>
  <si>
    <t>poikittaisjäykiste</t>
  </si>
  <si>
    <t>poikittaisjäykiste päällä (&gt;1)</t>
  </si>
  <si>
    <t>vetolaudan leveys</t>
  </si>
  <si>
    <t>vetolaudan korkeus</t>
  </si>
  <si>
    <t>naula</t>
  </si>
  <si>
    <t>naulan pituus</t>
  </si>
  <si>
    <t>naula päällä (2)</t>
  </si>
  <si>
    <t>liima</t>
  </si>
  <si>
    <t>n-akseli</t>
  </si>
  <si>
    <t>puristuslauta</t>
  </si>
  <si>
    <t>(poikittaisjäykisteen kohdalta)</t>
  </si>
  <si>
    <t>(palkin kohdalta)</t>
  </si>
  <si>
    <t>pistekatkov.</t>
  </si>
  <si>
    <r>
      <t>kN/m</t>
    </r>
    <r>
      <rPr>
        <vertAlign val="superscript"/>
        <sz val="8"/>
        <rFont val="Arial"/>
        <family val="2"/>
      </rPr>
      <t>2</t>
    </r>
  </si>
  <si>
    <t>Poikkileikkaus suunnassa B</t>
  </si>
  <si>
    <t>Välipohjan tyyppi</t>
  </si>
  <si>
    <t>Välipohjan reunan tuenta</t>
  </si>
  <si>
    <t>oletettu, että jäykiste pystyy jakamaan pistekuormaa enintään 4 m:n matkalle (lähde: koelattiat Kyamk)</t>
  </si>
  <si>
    <t>*</t>
  </si>
  <si>
    <t>*) Paarteen tiheys (sahatavara C27)</t>
  </si>
  <si>
    <t>OSB / 4 - 25 - (2400) x 600 / 1203</t>
  </si>
  <si>
    <t xml:space="preserve">Koolaus C24 48x98 k300 / Lattiakipsilevy - 2x 15 (E=4000 N/mm2) </t>
  </si>
  <si>
    <t>levyn mukaan</t>
  </si>
  <si>
    <t>levylle</t>
  </si>
  <si>
    <t>palkille</t>
  </si>
  <si>
    <t>Elementin leveys tai välipohjan leveys tai 4000 mm</t>
  </si>
  <si>
    <t>aina jako 100 mm</t>
  </si>
  <si>
    <t>aina naula 2,5x60</t>
  </si>
  <si>
    <t>laudalle</t>
  </si>
  <si>
    <t>puristuslaudalle</t>
  </si>
  <si>
    <t>vetolaudalle</t>
  </si>
  <si>
    <t>Viilusuunta</t>
  </si>
  <si>
    <r>
      <t>20h</t>
    </r>
    <r>
      <rPr>
        <vertAlign val="subscript"/>
        <sz val="8"/>
        <rFont val="Arial"/>
        <family val="2"/>
      </rPr>
      <t>f</t>
    </r>
    <r>
      <rPr>
        <sz val="8"/>
        <rFont val="Arial"/>
        <family val="2"/>
      </rPr>
      <t xml:space="preserve"> tai 25h</t>
    </r>
    <r>
      <rPr>
        <vertAlign val="subscript"/>
        <sz val="8"/>
        <rFont val="Arial"/>
        <family val="2"/>
      </rPr>
      <t>f</t>
    </r>
    <r>
      <rPr>
        <sz val="8"/>
        <rFont val="Arial"/>
        <family val="2"/>
      </rPr>
      <t xml:space="preserve"> määritetään viilusuunta huomioiden</t>
    </r>
  </si>
  <si>
    <t>Palkkivälipohjan värähtelymitoitusohjelma</t>
  </si>
  <si>
    <r>
      <t>L</t>
    </r>
    <r>
      <rPr>
        <b/>
        <vertAlign val="subscript"/>
        <sz val="8"/>
        <rFont val="Arial"/>
        <family val="2"/>
      </rPr>
      <t>g</t>
    </r>
  </si>
  <si>
    <r>
      <t>L</t>
    </r>
    <r>
      <rPr>
        <vertAlign val="subscript"/>
        <sz val="8"/>
        <rFont val="Arial"/>
        <family val="2"/>
      </rPr>
      <t>g</t>
    </r>
    <r>
      <rPr>
        <sz val="8"/>
        <rFont val="Arial"/>
        <family val="2"/>
      </rPr>
      <t xml:space="preserve"> = kierteen pituus</t>
    </r>
  </si>
  <si>
    <t>kärjen tunkeuma</t>
  </si>
  <si>
    <t>Naula</t>
  </si>
  <si>
    <t>d</t>
  </si>
  <si>
    <t>Poikittaisjäykiste</t>
  </si>
  <si>
    <t>B-mitta</t>
  </si>
  <si>
    <t>Elementin leveys</t>
  </si>
  <si>
    <t>Ehdollinen muotoilu</t>
  </si>
  <si>
    <t>on</t>
  </si>
  <si>
    <t>Poikittaisen jäykkyyden ja B-mitan määräytyminen</t>
  </si>
  <si>
    <r>
      <t>(EI)</t>
    </r>
    <r>
      <rPr>
        <b/>
        <vertAlign val="subscript"/>
        <sz val="8"/>
        <rFont val="Arial"/>
        <family val="2"/>
      </rPr>
      <t>B</t>
    </r>
  </si>
  <si>
    <t>välipohjan tuenta</t>
  </si>
  <si>
    <t>Jänneväli suunnassa B</t>
  </si>
  <si>
    <t>Jänneväli suunnassa L</t>
  </si>
  <si>
    <r>
      <t>L</t>
    </r>
    <r>
      <rPr>
        <vertAlign val="subscript"/>
        <sz val="8"/>
        <rFont val="Arial"/>
        <family val="2"/>
      </rPr>
      <t>jäykiste</t>
    </r>
    <r>
      <rPr>
        <sz val="8"/>
        <rFont val="Arial"/>
        <family val="2"/>
      </rPr>
      <t xml:space="preserve"> </t>
    </r>
  </si>
  <si>
    <r>
      <t>L</t>
    </r>
    <r>
      <rPr>
        <vertAlign val="subscript"/>
        <sz val="8"/>
        <rFont val="Arial"/>
        <family val="2"/>
      </rPr>
      <t>jäykiste</t>
    </r>
  </si>
  <si>
    <t>Mitoituksessa käytettävä</t>
  </si>
  <si>
    <t>Etäisyys jäykisteen n-akselista laudan painopisteeseen (liittorakenne)</t>
  </si>
  <si>
    <t>Etäisyys palkin n-akselista levyn painopisteeseen (liittorakenne)</t>
  </si>
  <si>
    <t>Etäisyys palkin n-akselista palkin painopisteeseen (liittorakenne)</t>
  </si>
  <si>
    <t xml:space="preserve">Pintalaatan taivutusjäykkyys </t>
  </si>
  <si>
    <t>Palkiston taivutusjäykkyys</t>
  </si>
  <si>
    <t>Taivutusjäykkyys suunnassa L</t>
  </si>
  <si>
    <t>Pintalaatan taivutusjäykkyys</t>
  </si>
  <si>
    <t>Kansirakenteen taivutusjäykkyys</t>
  </si>
  <si>
    <t>Poikittaisjäykisteiden taivutusjäykkyys</t>
  </si>
  <si>
    <t>Taivutusjäykkyys suunnassa B</t>
  </si>
  <si>
    <t>Välipohjan taivutusjäykkyys suunnassa L</t>
  </si>
  <si>
    <t>Välipohjan taivutusjäykkyys suunnassa B</t>
  </si>
  <si>
    <t>Palkin poikkileikkaus suunnassa L</t>
  </si>
  <si>
    <t>Poikittaisjäykisteen poikkileikkaus suunnassa B</t>
  </si>
  <si>
    <t>Palikan leveys</t>
  </si>
  <si>
    <t>Versio 1.4</t>
  </si>
  <si>
    <t>Suunta L</t>
  </si>
  <si>
    <t>Suunta B</t>
  </si>
  <si>
    <r>
      <t>m</t>
    </r>
    <r>
      <rPr>
        <vertAlign val="subscript"/>
        <sz val="8"/>
        <rFont val="Arial"/>
        <family val="2"/>
      </rPr>
      <t>2</t>
    </r>
    <r>
      <rPr>
        <sz val="8"/>
        <rFont val="Arial"/>
        <family val="0"/>
      </rPr>
      <t xml:space="preserve"> =</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</si>
</sst>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Kyllä&quot;;&quot;Kyllä&quot;;&quot;Ei&quot;"/>
    <numFmt numFmtId="167" formatCode="&quot;Tosi&quot;;&quot;Tosi&quot;;&quot;Epätosi&quot;"/>
    <numFmt numFmtId="168" formatCode="&quot;Käytössä&quot;;&quot;Käytössä&quot;;&quot;Ei käytössä&quot;"/>
    <numFmt numFmtId="169" formatCode="\H\z"/>
    <numFmt numFmtId="170" formatCode="0,\H\z"/>
    <numFmt numFmtId="171" formatCode="0.0\ %"/>
    <numFmt numFmtId="172" formatCode="[$-40B]d\.\ mmmm&quot;ta &quot;yyyy"/>
    <numFmt numFmtId="173" formatCode="&quot;0,00 mm&quot;"/>
    <numFmt numFmtId="174" formatCode="&quot;mm&quot;"/>
    <numFmt numFmtId="175" formatCode="&quot;0 mm&quot;"/>
    <numFmt numFmtId="176" formatCode="0.00,&quot;mm&quot;"/>
    <numFmt numFmtId="177" formatCode="0,&quot;mm&quot;"/>
    <numFmt numFmtId="178" formatCode="0&quot; mm&quot;"/>
    <numFmt numFmtId="179" formatCode="0.00&quot; mm&quot;"/>
    <numFmt numFmtId="180" formatCode="0&quot; Hz&quot;"/>
    <numFmt numFmtId="181" formatCode="0.0&quot; Hz&quot;"/>
    <numFmt numFmtId="182" formatCode="d\.m\.yy;@"/>
    <numFmt numFmtId="183" formatCode="0&quot; mm2&quot;"/>
    <numFmt numFmtId="184" formatCode="0.0&quot; kN/mm2&quot;"/>
    <numFmt numFmtId="185" formatCode="0.0&quot; kN/m2&quot;"/>
    <numFmt numFmtId="186" formatCode="0.0E+00"/>
    <numFmt numFmtId="187" formatCode="0&quot; m&quot;"/>
    <numFmt numFmtId="188" formatCode="0&quot; kN/m2&quot;"/>
    <numFmt numFmtId="189" formatCode="0&quot; kg/m2&quot;"/>
    <numFmt numFmtId="190" formatCode="0&quot; N/mm&quot;"/>
    <numFmt numFmtId="191" formatCode="0.0&quot; kN&quot;"/>
    <numFmt numFmtId="192" formatCode="0.0&quot; mm&quot;"/>
    <numFmt numFmtId="193" formatCode="0.0000E+00"/>
    <numFmt numFmtId="194" formatCode="0.000E+00"/>
    <numFmt numFmtId="195" formatCode="&quot; K&quot;"/>
    <numFmt numFmtId="196" formatCode="&quot;k &quot;0"/>
    <numFmt numFmtId="197" formatCode="&quot; - k &quot;0"/>
    <numFmt numFmtId="198" formatCode="&quot;b= &quot;0&quot; mm&quot;"/>
    <numFmt numFmtId="199" formatCode="&quot;b = &quot;0&quot; mm&quot;"/>
    <numFmt numFmtId="200" formatCode="&quot;k = &quot;0"/>
    <numFmt numFmtId="201" formatCode="&quot;L = &quot;0"/>
    <numFmt numFmtId="202" formatCode="&quot;s = &quot;0&quot; mm&quot;"/>
  </numFmts>
  <fonts count="59">
    <font>
      <sz val="10"/>
      <name val="Arial"/>
      <family val="0"/>
    </font>
    <font>
      <sz val="8"/>
      <name val="Arial"/>
      <family val="0"/>
    </font>
    <font>
      <vertAlign val="subscript"/>
      <sz val="8"/>
      <name val="Arial"/>
      <family val="0"/>
    </font>
    <font>
      <sz val="14"/>
      <name val="Arial"/>
      <family val="2"/>
    </font>
    <font>
      <b/>
      <sz val="8"/>
      <name val="Arial"/>
      <family val="2"/>
    </font>
    <font>
      <vertAlign val="superscript"/>
      <sz val="8"/>
      <name val="Arial"/>
      <family val="2"/>
    </font>
    <font>
      <sz val="8"/>
      <name val="Tahoma"/>
      <family val="2"/>
    </font>
    <font>
      <i/>
      <sz val="8"/>
      <name val="Arial"/>
      <family val="2"/>
    </font>
    <font>
      <b/>
      <sz val="12"/>
      <name val="Arial"/>
      <family val="2"/>
    </font>
    <font>
      <b/>
      <sz val="8"/>
      <color indexed="10"/>
      <name val="Arial"/>
      <family val="2"/>
    </font>
    <font>
      <b/>
      <sz val="10"/>
      <color indexed="10"/>
      <name val="Arial"/>
      <family val="2"/>
    </font>
    <font>
      <sz val="12"/>
      <name val="Arial"/>
      <family val="2"/>
    </font>
    <font>
      <b/>
      <sz val="10"/>
      <name val="Arial"/>
      <family val="2"/>
    </font>
    <font>
      <u val="single"/>
      <sz val="10"/>
      <color indexed="12"/>
      <name val="Arial"/>
      <family val="0"/>
    </font>
    <font>
      <u val="single"/>
      <sz val="10"/>
      <color indexed="36"/>
      <name val="Arial"/>
      <family val="0"/>
    </font>
    <font>
      <sz val="8"/>
      <color indexed="10"/>
      <name val="Arial"/>
      <family val="0"/>
    </font>
    <font>
      <sz val="10"/>
      <color indexed="10"/>
      <name val="Arial"/>
      <family val="0"/>
    </font>
    <font>
      <b/>
      <vertAlign val="superscript"/>
      <sz val="8"/>
      <name val="Arial"/>
      <family val="2"/>
    </font>
    <font>
      <b/>
      <vertAlign val="subscript"/>
      <sz val="8"/>
      <name val="Arial"/>
      <family val="2"/>
    </font>
    <font>
      <sz val="7"/>
      <name val="Arial"/>
      <family val="2"/>
    </font>
    <font>
      <vertAlign val="subscript"/>
      <sz val="10"/>
      <name val="Arial"/>
      <family val="0"/>
    </font>
    <font>
      <i/>
      <vertAlign val="superscript"/>
      <sz val="10"/>
      <name val="Arial"/>
      <family val="0"/>
    </font>
    <font>
      <vertAlign val="superscript"/>
      <sz val="10"/>
      <name val="Arial"/>
      <family val="0"/>
    </font>
    <font>
      <i/>
      <sz val="10"/>
      <name val="Arial"/>
      <family val="0"/>
    </font>
    <font>
      <b/>
      <sz val="18"/>
      <name val="Arial"/>
      <family val="2"/>
    </font>
    <font>
      <b/>
      <sz val="9"/>
      <name val="Arial"/>
      <family val="2"/>
    </font>
    <font>
      <sz val="9"/>
      <name val="Arial"/>
      <family val="2"/>
    </font>
    <font>
      <b/>
      <i/>
      <sz val="10"/>
      <name val="Arial"/>
      <family val="2"/>
    </font>
    <font>
      <b/>
      <vertAlign val="sub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color indexed="8"/>
      <name val="Arial"/>
      <family val="0"/>
    </font>
    <font>
      <sz val="8"/>
      <color indexed="8"/>
      <name val="Arial"/>
      <family val="0"/>
    </font>
    <font>
      <sz val="7"/>
      <color indexed="8"/>
      <name val="Arial"/>
      <family val="0"/>
    </font>
    <font>
      <b/>
      <sz val="8"/>
      <color indexed="8"/>
      <name val="Arial"/>
      <family val="0"/>
    </font>
    <font>
      <b/>
      <u val="single"/>
      <sz val="10"/>
      <color indexed="8"/>
      <name val="Arial"/>
      <family val="0"/>
    </font>
    <font>
      <b/>
      <u val="single"/>
      <sz val="8"/>
      <color indexed="8"/>
      <name val="Arial"/>
      <family val="0"/>
    </font>
    <font>
      <sz val="2.75"/>
      <color indexed="8"/>
      <name val="Arial"/>
      <family val="0"/>
    </font>
    <font>
      <sz val="7"/>
      <color indexed="12"/>
      <name val="Arial"/>
      <family val="0"/>
    </font>
    <font>
      <sz val="5.75"/>
      <color indexed="8"/>
      <name val="Arial"/>
      <family val="0"/>
    </font>
    <font>
      <vertAlign val="subscript"/>
      <sz val="8"/>
      <color indexed="8"/>
      <name val="Arial"/>
      <family val="0"/>
    </font>
    <font>
      <b/>
      <sz val="10"/>
      <color indexed="8"/>
      <name val="Arial"/>
      <family val="0"/>
    </font>
    <font>
      <sz val="3"/>
      <name val="Arial"/>
      <family val="0"/>
    </font>
    <font>
      <sz val="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Up"/>
    </fill>
  </fills>
  <borders count="11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style="thin"/>
      <right>
        <color indexed="63"/>
      </right>
      <top style="thin">
        <color indexed="22"/>
      </top>
      <bottom style="thin">
        <color indexed="22"/>
      </bottom>
    </border>
    <border>
      <left style="thin"/>
      <right style="medium"/>
      <top style="thin">
        <color indexed="22"/>
      </top>
      <bottom style="thin">
        <color indexed="22"/>
      </bottom>
    </border>
    <border>
      <left style="thin"/>
      <right style="thin"/>
      <top style="thin"/>
      <bottom>
        <color indexed="63"/>
      </bottom>
    </border>
    <border>
      <left style="medium"/>
      <right>
        <color indexed="63"/>
      </right>
      <top style="medium"/>
      <bottom style="thin">
        <color indexed="22"/>
      </bottom>
    </border>
    <border>
      <left style="thin"/>
      <right>
        <color indexed="63"/>
      </right>
      <top style="medium"/>
      <bottom style="thin">
        <color indexed="22"/>
      </bottom>
    </border>
    <border>
      <left style="thin"/>
      <right style="medium"/>
      <top style="medium"/>
      <bottom style="thin">
        <color indexed="22"/>
      </bottom>
    </border>
    <border>
      <left style="thin"/>
      <right style="thin">
        <color indexed="22"/>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color indexed="22"/>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style="medium"/>
      <top>
        <color indexed="63"/>
      </top>
      <bottom style="thin">
        <color indexed="22"/>
      </bottom>
    </border>
    <border>
      <left style="medium"/>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medium"/>
      <right>
        <color indexed="63"/>
      </right>
      <top style="thin">
        <color indexed="22"/>
      </top>
      <bottom style="medium"/>
    </border>
    <border>
      <left style="thin"/>
      <right>
        <color indexed="63"/>
      </right>
      <top style="medium"/>
      <bottom style="medium"/>
    </border>
    <border>
      <left style="thin"/>
      <right>
        <color indexed="63"/>
      </right>
      <top>
        <color indexed="63"/>
      </top>
      <bottom style="thin">
        <color indexed="22"/>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dashed"/>
    </border>
    <border>
      <left>
        <color indexed="63"/>
      </left>
      <right>
        <color indexed="63"/>
      </right>
      <top style="thin"/>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color indexed="63"/>
      </top>
      <bottom style="double"/>
    </border>
    <border>
      <left>
        <color indexed="63"/>
      </left>
      <right>
        <color indexed="63"/>
      </right>
      <top style="thin">
        <color indexed="22"/>
      </top>
      <bottom style="medium"/>
    </border>
    <border>
      <left style="thin"/>
      <right style="thin"/>
      <top style="thin">
        <color indexed="22"/>
      </top>
      <bottom style="medium"/>
    </border>
    <border>
      <left style="thin"/>
      <right style="thin"/>
      <top style="thin">
        <color indexed="22"/>
      </top>
      <bottom style="thin"/>
    </border>
    <border>
      <left style="thin"/>
      <right style="medium"/>
      <top style="thin">
        <color indexed="22"/>
      </top>
      <bottom style="medium"/>
    </border>
    <border>
      <left style="thin"/>
      <right style="medium"/>
      <top style="medium"/>
      <bottom style="thin"/>
    </border>
    <border>
      <left style="thin"/>
      <right style="medium"/>
      <top>
        <color indexed="63"/>
      </top>
      <bottom style="thin"/>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style="thin"/>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thin">
        <color indexed="22"/>
      </top>
      <bottom style="medium"/>
    </border>
    <border>
      <left style="thin"/>
      <right style="thin">
        <color indexed="22"/>
      </right>
      <top style="thin">
        <color indexed="22"/>
      </top>
      <bottom>
        <color indexed="63"/>
      </bottom>
    </border>
    <border>
      <left style="thin"/>
      <right>
        <color indexed="63"/>
      </right>
      <top style="thin">
        <color indexed="22"/>
      </top>
      <bottom>
        <color indexed="63"/>
      </bottom>
    </border>
    <border>
      <left style="thin"/>
      <right style="thin"/>
      <top style="thin">
        <color indexed="22"/>
      </top>
      <bottom>
        <color indexed="63"/>
      </bottom>
    </border>
    <border>
      <left style="thin"/>
      <right style="medium"/>
      <top style="thin">
        <color indexed="22"/>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thin">
        <color indexed="22"/>
      </right>
      <top style="thin">
        <color indexed="22"/>
      </top>
      <bottom style="medium"/>
    </border>
    <border>
      <left style="thin"/>
      <right style="thin">
        <color indexed="22"/>
      </right>
      <top>
        <color indexed="63"/>
      </top>
      <bottom style="medium"/>
    </border>
    <border>
      <left style="thin"/>
      <right style="thin"/>
      <top style="medium"/>
      <bottom style="thin">
        <color indexed="22"/>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color indexed="22"/>
      </bottom>
    </border>
    <border>
      <left>
        <color indexed="63"/>
      </left>
      <right>
        <color indexed="63"/>
      </right>
      <top style="thin"/>
      <bottom style="thin">
        <color indexed="22"/>
      </bottom>
    </border>
    <border>
      <left style="thin"/>
      <right>
        <color indexed="63"/>
      </right>
      <top style="thin"/>
      <bottom style="thin">
        <color indexed="22"/>
      </bottom>
    </border>
    <border>
      <left>
        <color indexed="63"/>
      </left>
      <right>
        <color indexed="63"/>
      </right>
      <top style="thin">
        <color indexed="22"/>
      </top>
      <bottom style="thin"/>
    </border>
    <border>
      <left style="thin"/>
      <right>
        <color indexed="63"/>
      </right>
      <top style="thin">
        <color indexed="22"/>
      </top>
      <bottom style="thin"/>
    </border>
    <border>
      <left style="thin"/>
      <right>
        <color indexed="63"/>
      </right>
      <top style="thin"/>
      <bottom style="medium"/>
    </border>
    <border>
      <left style="thin"/>
      <right style="medium"/>
      <top>
        <color indexed="63"/>
      </top>
      <bottom>
        <color indexed="63"/>
      </bottom>
    </border>
    <border>
      <left>
        <color indexed="63"/>
      </left>
      <right style="thin"/>
      <top style="dashed"/>
      <bottom>
        <color indexed="63"/>
      </bottom>
    </border>
    <border>
      <left style="thin">
        <color indexed="22"/>
      </left>
      <right>
        <color indexed="63"/>
      </right>
      <top>
        <color indexed="63"/>
      </top>
      <bottom>
        <color indexed="63"/>
      </bottom>
    </border>
    <border>
      <left>
        <color indexed="63"/>
      </left>
      <right style="double">
        <color indexed="22"/>
      </right>
      <top>
        <color indexed="63"/>
      </top>
      <bottom>
        <color indexed="63"/>
      </bottom>
    </border>
    <border>
      <left style="thin">
        <color indexed="22"/>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color indexed="63"/>
      </bottom>
    </border>
    <border>
      <left>
        <color indexed="63"/>
      </left>
      <right style="thin">
        <color indexed="22"/>
      </right>
      <top>
        <color indexed="63"/>
      </top>
      <bottom>
        <color indexed="63"/>
      </bottom>
    </border>
    <border>
      <left style="double">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22"/>
      </left>
      <right>
        <color indexed="63"/>
      </right>
      <top style="thin">
        <color indexed="22"/>
      </top>
      <bottom>
        <color indexed="63"/>
      </bottom>
    </border>
    <border>
      <left>
        <color indexed="63"/>
      </left>
      <right style="double">
        <color indexed="22"/>
      </right>
      <top style="thin">
        <color indexed="22"/>
      </top>
      <bottom>
        <color indexed="63"/>
      </bottom>
    </border>
    <border>
      <left style="double">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style="thin"/>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0"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1"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2"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0" fillId="5" borderId="1" applyNumberFormat="0" applyFont="0" applyAlignment="0" applyProtection="0"/>
    <xf numFmtId="0" fontId="34" fillId="17" borderId="0" applyNumberFormat="0" applyBorder="0" applyAlignment="0" applyProtection="0"/>
    <xf numFmtId="0" fontId="13" fillId="0" borderId="0" applyNumberFormat="0" applyFill="0" applyBorder="0" applyAlignment="0" applyProtection="0"/>
    <xf numFmtId="0" fontId="33" fillId="7" borderId="0" applyNumberFormat="0" applyBorder="0" applyAlignment="0" applyProtection="0"/>
    <xf numFmtId="0" fontId="38" fillId="9" borderId="2" applyNumberFormat="0" applyAlignment="0" applyProtection="0"/>
    <xf numFmtId="0" fontId="39" fillId="0" borderId="3" applyNumberFormat="0" applyFill="0" applyAlignment="0" applyProtection="0"/>
    <xf numFmtId="0" fontId="35" fillId="10"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6" fillId="3" borderId="2" applyNumberFormat="0" applyAlignment="0" applyProtection="0"/>
    <xf numFmtId="0" fontId="40" fillId="14" borderId="8" applyNumberFormat="0" applyAlignment="0" applyProtection="0"/>
    <xf numFmtId="0" fontId="37" fillId="9" borderId="9" applyNumberFormat="0" applyAlignment="0" applyProtection="0"/>
    <xf numFmtId="44" fontId="0" fillId="0" borderId="0" applyFont="0" applyFill="0" applyBorder="0" applyAlignment="0" applyProtection="0"/>
    <xf numFmtId="0" fontId="41" fillId="0" borderId="0" applyNumberFormat="0" applyFill="0" applyBorder="0" applyAlignment="0" applyProtection="0"/>
  </cellStyleXfs>
  <cellXfs count="933">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0" xfId="0" applyFont="1" applyFill="1" applyBorder="1" applyAlignment="1">
      <alignment/>
    </xf>
    <xf numFmtId="0" fontId="4" fillId="0" borderId="10" xfId="0" applyFont="1" applyBorder="1" applyAlignment="1">
      <alignment horizontal="center"/>
    </xf>
    <xf numFmtId="0" fontId="1" fillId="0" borderId="10" xfId="0" applyFont="1" applyBorder="1" applyAlignment="1">
      <alignment/>
    </xf>
    <xf numFmtId="0" fontId="1" fillId="0" borderId="0" xfId="0" applyFont="1" applyAlignment="1">
      <alignment/>
    </xf>
    <xf numFmtId="0" fontId="1" fillId="0" borderId="10" xfId="0" applyFont="1" applyFill="1" applyBorder="1" applyAlignment="1">
      <alignment/>
    </xf>
    <xf numFmtId="0" fontId="15" fillId="0" borderId="0" xfId="0" applyFont="1" applyAlignment="1">
      <alignment/>
    </xf>
    <xf numFmtId="0" fontId="0" fillId="9" borderId="0" xfId="0" applyFill="1" applyAlignment="1" applyProtection="1">
      <alignment/>
      <protection/>
    </xf>
    <xf numFmtId="0" fontId="0" fillId="9" borderId="0" xfId="0" applyFont="1" applyFill="1" applyAlignment="1" applyProtection="1">
      <alignment/>
      <protection/>
    </xf>
    <xf numFmtId="0" fontId="3" fillId="9" borderId="0" xfId="0" applyFont="1" applyFill="1" applyBorder="1" applyAlignment="1" applyProtection="1">
      <alignment horizontal="center" vertical="center"/>
      <protection/>
    </xf>
    <xf numFmtId="0" fontId="0" fillId="9" borderId="0" xfId="0" applyFill="1" applyBorder="1" applyAlignment="1" applyProtection="1">
      <alignment/>
      <protection/>
    </xf>
    <xf numFmtId="49" fontId="11" fillId="9" borderId="0" xfId="0" applyNumberFormat="1" applyFont="1" applyFill="1" applyBorder="1" applyAlignment="1" applyProtection="1">
      <alignment horizontal="center" vertical="center"/>
      <protection/>
    </xf>
    <xf numFmtId="0" fontId="0" fillId="9" borderId="0" xfId="0" applyFont="1" applyFill="1" applyBorder="1" applyAlignment="1" applyProtection="1">
      <alignment vertical="center" wrapText="1"/>
      <protection/>
    </xf>
    <xf numFmtId="0" fontId="0" fillId="9" borderId="0" xfId="0" applyFill="1" applyBorder="1" applyAlignment="1" applyProtection="1">
      <alignment/>
      <protection/>
    </xf>
    <xf numFmtId="0" fontId="7" fillId="9" borderId="0" xfId="0" applyFont="1" applyFill="1" applyBorder="1" applyAlignment="1" applyProtection="1">
      <alignment/>
      <protection/>
    </xf>
    <xf numFmtId="0" fontId="1" fillId="9" borderId="0" xfId="0" applyFont="1" applyFill="1" applyBorder="1" applyAlignment="1" applyProtection="1">
      <alignment/>
      <protection/>
    </xf>
    <xf numFmtId="0" fontId="1" fillId="9" borderId="0" xfId="0" applyFont="1" applyFill="1" applyBorder="1" applyAlignment="1" applyProtection="1">
      <alignment/>
      <protection/>
    </xf>
    <xf numFmtId="0" fontId="1" fillId="9" borderId="0" xfId="0" applyFont="1" applyFill="1" applyBorder="1" applyAlignment="1" applyProtection="1">
      <alignment/>
      <protection/>
    </xf>
    <xf numFmtId="0" fontId="1" fillId="9" borderId="0" xfId="0" applyFont="1" applyFill="1" applyAlignment="1" applyProtection="1">
      <alignment/>
      <protection/>
    </xf>
    <xf numFmtId="0" fontId="1" fillId="9" borderId="0" xfId="0" applyFont="1" applyFill="1" applyBorder="1" applyAlignment="1" applyProtection="1">
      <alignment horizontal="center"/>
      <protection/>
    </xf>
    <xf numFmtId="0" fontId="1" fillId="9" borderId="0" xfId="0" applyFont="1" applyFill="1" applyBorder="1" applyAlignment="1" applyProtection="1">
      <alignment horizontal="center"/>
      <protection/>
    </xf>
    <xf numFmtId="0" fontId="1" fillId="9" borderId="0" xfId="0" applyFont="1" applyFill="1" applyBorder="1" applyAlignment="1" applyProtection="1">
      <alignment vertical="center"/>
      <protection/>
    </xf>
    <xf numFmtId="0" fontId="1" fillId="9" borderId="0" xfId="0" applyNumberFormat="1" applyFont="1" applyFill="1" applyBorder="1" applyAlignment="1" applyProtection="1">
      <alignment/>
      <protection/>
    </xf>
    <xf numFmtId="0" fontId="1" fillId="9" borderId="0" xfId="0" applyFont="1" applyFill="1" applyBorder="1" applyAlignment="1" applyProtection="1">
      <alignment/>
      <protection/>
    </xf>
    <xf numFmtId="0" fontId="0" fillId="9" borderId="0" xfId="0" applyFont="1" applyFill="1" applyBorder="1" applyAlignment="1" applyProtection="1">
      <alignment/>
      <protection/>
    </xf>
    <xf numFmtId="0" fontId="4" fillId="0" borderId="0" xfId="0" applyFont="1" applyFill="1" applyBorder="1" applyAlignment="1" applyProtection="1">
      <alignment/>
      <protection/>
    </xf>
    <xf numFmtId="0" fontId="19" fillId="0" borderId="0" xfId="0" applyFont="1" applyFill="1" applyBorder="1" applyAlignment="1" applyProtection="1">
      <alignment/>
      <protection/>
    </xf>
    <xf numFmtId="0" fontId="1" fillId="9" borderId="0" xfId="0" applyFont="1" applyFill="1" applyBorder="1" applyAlignment="1" applyProtection="1">
      <alignment vertical="center"/>
      <protection/>
    </xf>
    <xf numFmtId="0" fontId="4" fillId="9" borderId="0" xfId="0" applyFont="1" applyFill="1" applyBorder="1" applyAlignment="1" applyProtection="1">
      <alignment/>
      <protection/>
    </xf>
    <xf numFmtId="0" fontId="4" fillId="9" borderId="0" xfId="0" applyFont="1" applyFill="1" applyBorder="1" applyAlignment="1" applyProtection="1">
      <alignment/>
      <protection/>
    </xf>
    <xf numFmtId="0" fontId="1" fillId="9" borderId="0" xfId="0" applyNumberFormat="1" applyFont="1" applyFill="1" applyBorder="1" applyAlignment="1" applyProtection="1">
      <alignment/>
      <protection/>
    </xf>
    <xf numFmtId="0" fontId="9" fillId="9" borderId="0" xfId="0" applyFont="1" applyFill="1" applyBorder="1" applyAlignment="1" applyProtection="1">
      <alignment/>
      <protection/>
    </xf>
    <xf numFmtId="0" fontId="4" fillId="9" borderId="0" xfId="0" applyFont="1" applyFill="1" applyBorder="1" applyAlignment="1" applyProtection="1">
      <alignment vertical="center"/>
      <protection/>
    </xf>
    <xf numFmtId="0" fontId="1" fillId="0" borderId="0" xfId="0"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protection/>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82" fontId="1" fillId="9" borderId="11" xfId="0" applyNumberFormat="1" applyFont="1" applyFill="1" applyBorder="1" applyAlignment="1" applyProtection="1">
      <alignment horizontal="center"/>
      <protection locked="0"/>
    </xf>
    <xf numFmtId="0" fontId="0" fillId="0" borderId="0" xfId="0" applyFill="1" applyBorder="1" applyAlignment="1" applyProtection="1">
      <alignment/>
      <protection/>
    </xf>
    <xf numFmtId="0" fontId="0" fillId="0" borderId="11" xfId="0" applyFill="1" applyBorder="1" applyAlignment="1" applyProtection="1">
      <alignment/>
      <protection/>
    </xf>
    <xf numFmtId="0" fontId="4"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1" fillId="0" borderId="10" xfId="0" applyFont="1" applyFill="1" applyBorder="1" applyAlignment="1" applyProtection="1">
      <alignment/>
      <protection/>
    </xf>
    <xf numFmtId="0" fontId="1" fillId="0" borderId="10" xfId="0" applyFont="1" applyFill="1" applyBorder="1" applyAlignment="1" applyProtection="1">
      <alignment horizontal="center"/>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0" fontId="0" fillId="0" borderId="11" xfId="0" applyFont="1" applyFill="1" applyBorder="1" applyAlignment="1" applyProtection="1">
      <alignment/>
      <protection/>
    </xf>
    <xf numFmtId="0" fontId="20" fillId="0" borderId="11"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horizontal="left"/>
      <protection/>
    </xf>
    <xf numFmtId="0" fontId="0" fillId="0" borderId="11"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22" fillId="0" borderId="0" xfId="0" applyFont="1" applyFill="1" applyBorder="1" applyAlignment="1" applyProtection="1">
      <alignment horizontal="left"/>
      <protection/>
    </xf>
    <xf numFmtId="0" fontId="0" fillId="0" borderId="15" xfId="0" applyNumberFormat="1" applyFill="1" applyBorder="1" applyAlignment="1" applyProtection="1">
      <alignment/>
      <protection/>
    </xf>
    <xf numFmtId="0" fontId="0" fillId="0" borderId="16" xfId="0" applyNumberFormat="1" applyFill="1" applyBorder="1" applyAlignment="1" applyProtection="1">
      <alignment/>
      <protection/>
    </xf>
    <xf numFmtId="0" fontId="0" fillId="0" borderId="17" xfId="0" applyNumberFormat="1" applyFill="1" applyBorder="1" applyAlignment="1" applyProtection="1">
      <alignment/>
      <protection/>
    </xf>
    <xf numFmtId="0" fontId="0" fillId="0" borderId="11" xfId="0" applyNumberFormat="1" applyFill="1" applyBorder="1" applyAlignment="1" applyProtection="1">
      <alignment/>
      <protection/>
    </xf>
    <xf numFmtId="0" fontId="2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20" fillId="0" borderId="16" xfId="0" applyNumberFormat="1" applyFont="1" applyFill="1" applyBorder="1" applyAlignment="1" applyProtection="1">
      <alignment/>
      <protection/>
    </xf>
    <xf numFmtId="0" fontId="3" fillId="0" borderId="18" xfId="0" applyNumberFormat="1" applyFont="1" applyFill="1" applyBorder="1" applyAlignment="1" applyProtection="1">
      <alignment horizontal="center"/>
      <protection/>
    </xf>
    <xf numFmtId="0" fontId="3" fillId="0" borderId="1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12" xfId="0" applyNumberForma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11" xfId="0" applyNumberFormat="1" applyFont="1" applyFill="1" applyBorder="1" applyAlignment="1" applyProtection="1">
      <alignment/>
      <protection/>
    </xf>
    <xf numFmtId="0" fontId="0" fillId="0" borderId="19"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0" fillId="0" borderId="19" xfId="0" applyNumberFormat="1" applyFont="1" applyFill="1" applyBorder="1" applyAlignment="1" applyProtection="1">
      <alignment vertical="center" wrapText="1"/>
      <protection/>
    </xf>
    <xf numFmtId="0" fontId="0" fillId="0" borderId="0" xfId="0" applyNumberFormat="1" applyFont="1" applyFill="1" applyAlignment="1" applyProtection="1">
      <alignment/>
      <protection/>
    </xf>
    <xf numFmtId="0" fontId="0" fillId="0" borderId="12" xfId="0" applyFill="1" applyBorder="1" applyAlignment="1" applyProtection="1">
      <alignment/>
      <protection/>
    </xf>
    <xf numFmtId="0" fontId="1" fillId="0" borderId="11"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12" xfId="0" applyNumberFormat="1" applyFont="1" applyFill="1" applyBorder="1" applyAlignment="1" applyProtection="1">
      <alignment/>
      <protection/>
    </xf>
    <xf numFmtId="0" fontId="1" fillId="0" borderId="19" xfId="0" applyNumberFormat="1" applyFont="1" applyFill="1" applyBorder="1" applyAlignment="1" applyProtection="1">
      <alignment/>
      <protection/>
    </xf>
    <xf numFmtId="0" fontId="0" fillId="0" borderId="19" xfId="0" applyNumberFormat="1" applyFill="1" applyBorder="1" applyAlignment="1" applyProtection="1">
      <alignment/>
      <protection/>
    </xf>
    <xf numFmtId="0"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0" fillId="0" borderId="14" xfId="0" applyNumberFormat="1" applyFill="1" applyBorder="1" applyAlignment="1" applyProtection="1">
      <alignment/>
      <protection/>
    </xf>
    <xf numFmtId="0" fontId="0" fillId="0" borderId="20" xfId="0" applyNumberFormat="1" applyFill="1" applyBorder="1" applyAlignment="1" applyProtection="1">
      <alignment/>
      <protection/>
    </xf>
    <xf numFmtId="0" fontId="0" fillId="0" borderId="21" xfId="0" applyNumberFormat="1" applyFill="1" applyBorder="1" applyAlignment="1" applyProtection="1">
      <alignment/>
      <protection/>
    </xf>
    <xf numFmtId="0" fontId="0" fillId="0" borderId="22" xfId="0" applyNumberFormat="1" applyFill="1" applyBorder="1" applyAlignment="1" applyProtection="1">
      <alignment/>
      <protection/>
    </xf>
    <xf numFmtId="0" fontId="0" fillId="9" borderId="0" xfId="0" applyFill="1" applyAlignment="1" applyProtection="1">
      <alignment/>
      <protection/>
    </xf>
    <xf numFmtId="0" fontId="0" fillId="9" borderId="0" xfId="0" applyNumberFormat="1" applyFont="1" applyFill="1" applyAlignment="1" applyProtection="1">
      <alignment/>
      <protection/>
    </xf>
    <xf numFmtId="0" fontId="1" fillId="9" borderId="0" xfId="0" applyNumberFormat="1" applyFont="1" applyFill="1" applyBorder="1" applyAlignment="1" applyProtection="1">
      <alignment/>
      <protection/>
    </xf>
    <xf numFmtId="0" fontId="1" fillId="9" borderId="0" xfId="0" applyNumberFormat="1" applyFont="1" applyFill="1" applyBorder="1" applyAlignment="1" applyProtection="1">
      <alignment horizontal="center"/>
      <protection/>
    </xf>
    <xf numFmtId="0" fontId="0" fillId="9" borderId="0" xfId="0" applyNumberFormat="1" applyFont="1" applyFill="1" applyBorder="1" applyAlignment="1" applyProtection="1">
      <alignment/>
      <protection/>
    </xf>
    <xf numFmtId="0" fontId="0" fillId="9" borderId="0" xfId="0" applyNumberFormat="1" applyFont="1" applyFill="1" applyAlignment="1" applyProtection="1">
      <alignment/>
      <protection/>
    </xf>
    <xf numFmtId="0" fontId="7" fillId="0" borderId="0" xfId="0" applyFont="1" applyFill="1" applyBorder="1" applyAlignment="1" applyProtection="1">
      <alignment/>
      <protection/>
    </xf>
    <xf numFmtId="0" fontId="12" fillId="9" borderId="0" xfId="0" applyFont="1" applyFill="1" applyBorder="1" applyAlignment="1" applyProtection="1">
      <alignment horizontal="center"/>
      <protection/>
    </xf>
    <xf numFmtId="0" fontId="0" fillId="9" borderId="0" xfId="0" applyNumberFormat="1" applyFont="1" applyFill="1" applyBorder="1" applyAlignment="1" applyProtection="1">
      <alignment/>
      <protection/>
    </xf>
    <xf numFmtId="0" fontId="4"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protection/>
    </xf>
    <xf numFmtId="0" fontId="1" fillId="0" borderId="25" xfId="0" applyNumberFormat="1" applyFont="1" applyFill="1" applyBorder="1" applyAlignment="1" applyProtection="1">
      <alignment horizontal="center"/>
      <protection/>
    </xf>
    <xf numFmtId="0" fontId="4" fillId="9" borderId="0" xfId="0" applyNumberFormat="1" applyFont="1" applyFill="1" applyBorder="1" applyAlignment="1" applyProtection="1">
      <alignment horizontal="center"/>
      <protection/>
    </xf>
    <xf numFmtId="0" fontId="8" fillId="9" borderId="0" xfId="0" applyNumberFormat="1" applyFont="1" applyFill="1" applyBorder="1" applyAlignment="1" applyProtection="1">
      <alignment horizontal="center" vertical="center"/>
      <protection/>
    </xf>
    <xf numFmtId="0" fontId="11" fillId="9" borderId="0" xfId="0" applyFont="1" applyFill="1" applyBorder="1" applyAlignment="1" applyProtection="1">
      <alignment horizontal="center" vertical="center"/>
      <protection/>
    </xf>
    <xf numFmtId="0" fontId="7" fillId="9" borderId="0" xfId="0" applyFont="1"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20" fillId="0" borderId="15" xfId="0" applyFont="1" applyFill="1" applyBorder="1" applyAlignment="1" applyProtection="1">
      <alignment/>
      <protection/>
    </xf>
    <xf numFmtId="0" fontId="0" fillId="0" borderId="16" xfId="0" applyFont="1" applyFill="1" applyBorder="1" applyAlignment="1" applyProtection="1">
      <alignment/>
      <protection/>
    </xf>
    <xf numFmtId="0" fontId="20" fillId="0" borderId="16" xfId="0" applyFont="1" applyFill="1" applyBorder="1" applyAlignment="1" applyProtection="1">
      <alignment/>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protection/>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center" vertical="center"/>
      <protection/>
    </xf>
    <xf numFmtId="49" fontId="11" fillId="0" borderId="19" xfId="0" applyNumberFormat="1" applyFont="1" applyFill="1" applyBorder="1" applyAlignment="1" applyProtection="1">
      <alignment horizontal="center" vertical="center"/>
      <protection/>
    </xf>
    <xf numFmtId="0" fontId="0" fillId="0" borderId="11" xfId="0" applyFont="1" applyFill="1" applyBorder="1" applyAlignment="1" applyProtection="1">
      <alignment/>
      <protection/>
    </xf>
    <xf numFmtId="0" fontId="20" fillId="0" borderId="0" xfId="0" applyFont="1" applyFill="1" applyBorder="1" applyAlignment="1" applyProtection="1">
      <alignment/>
      <protection/>
    </xf>
    <xf numFmtId="182"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9" xfId="0" applyFill="1" applyBorder="1" applyAlignment="1" applyProtection="1">
      <alignment/>
      <protection/>
    </xf>
    <xf numFmtId="0" fontId="0" fillId="0" borderId="0" xfId="0" applyFont="1" applyFill="1" applyBorder="1" applyAlignment="1" applyProtection="1">
      <alignment vertical="center"/>
      <protection/>
    </xf>
    <xf numFmtId="0" fontId="0" fillId="0" borderId="19" xfId="0" applyFont="1" applyFill="1" applyBorder="1" applyAlignment="1" applyProtection="1">
      <alignment vertical="center" wrapText="1"/>
      <protection/>
    </xf>
    <xf numFmtId="0" fontId="0" fillId="0" borderId="11" xfId="0" applyFont="1" applyFill="1" applyBorder="1" applyAlignment="1" applyProtection="1">
      <alignment/>
      <protection/>
    </xf>
    <xf numFmtId="0" fontId="1" fillId="0" borderId="12" xfId="0" applyFont="1" applyFill="1" applyBorder="1" applyAlignment="1" applyProtection="1">
      <alignment/>
      <protection/>
    </xf>
    <xf numFmtId="0" fontId="1" fillId="0" borderId="19" xfId="0" applyFont="1" applyFill="1" applyBorder="1" applyAlignment="1" applyProtection="1">
      <alignment/>
      <protection/>
    </xf>
    <xf numFmtId="0" fontId="0" fillId="0" borderId="11"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0" fontId="16" fillId="0" borderId="0" xfId="0" applyFont="1" applyFill="1" applyBorder="1" applyAlignment="1" applyProtection="1">
      <alignment/>
      <protection/>
    </xf>
    <xf numFmtId="1" fontId="16" fillId="0" borderId="0" xfId="0" applyNumberFormat="1" applyFont="1" applyFill="1" applyBorder="1" applyAlignment="1" applyProtection="1">
      <alignment horizontal="center"/>
      <protection/>
    </xf>
    <xf numFmtId="0" fontId="0" fillId="0" borderId="11"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22" fillId="0" borderId="0" xfId="0" applyFont="1" applyFill="1" applyBorder="1" applyAlignment="1" applyProtection="1">
      <alignment/>
      <protection/>
    </xf>
    <xf numFmtId="0" fontId="0" fillId="0" borderId="19" xfId="0" applyFill="1" applyBorder="1" applyAlignment="1" applyProtection="1">
      <alignment/>
      <protection/>
    </xf>
    <xf numFmtId="0" fontId="12" fillId="0" borderId="0" xfId="0" applyFont="1" applyFill="1" applyBorder="1" applyAlignment="1" applyProtection="1">
      <alignment/>
      <protection/>
    </xf>
    <xf numFmtId="0" fontId="0" fillId="0" borderId="11"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11" xfId="0" applyFont="1" applyFill="1" applyBorder="1" applyAlignment="1" applyProtection="1">
      <alignment horizontal="right"/>
      <protection/>
    </xf>
    <xf numFmtId="0" fontId="23"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horizontal="right"/>
      <protection/>
    </xf>
    <xf numFmtId="0" fontId="0" fillId="0" borderId="11" xfId="0" applyFont="1" applyFill="1" applyBorder="1" applyAlignment="1" applyProtection="1">
      <alignment horizontal="right"/>
      <protection/>
    </xf>
    <xf numFmtId="0" fontId="21" fillId="0" borderId="0" xfId="0" applyFont="1"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3" fillId="0" borderId="18" xfId="0" applyFont="1" applyFill="1" applyBorder="1" applyAlignment="1" applyProtection="1">
      <alignment horizontal="center"/>
      <protection/>
    </xf>
    <xf numFmtId="0" fontId="2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 fillId="0" borderId="15" xfId="0" applyFont="1" applyFill="1" applyBorder="1" applyAlignment="1" applyProtection="1">
      <alignment/>
      <protection/>
    </xf>
    <xf numFmtId="0" fontId="0" fillId="0" borderId="18" xfId="0" applyFill="1" applyBorder="1" applyAlignment="1" applyProtection="1">
      <alignment/>
      <protection/>
    </xf>
    <xf numFmtId="0" fontId="2" fillId="0" borderId="16" xfId="0" applyFont="1" applyFill="1" applyBorder="1" applyAlignment="1" applyProtection="1">
      <alignment/>
      <protection/>
    </xf>
    <xf numFmtId="0" fontId="2" fillId="0" borderId="26" xfId="0" applyFont="1" applyFill="1" applyBorder="1" applyAlignment="1" applyProtection="1">
      <alignment/>
      <protection/>
    </xf>
    <xf numFmtId="0" fontId="8" fillId="0" borderId="16" xfId="0" applyFont="1" applyFill="1" applyBorder="1" applyAlignment="1" applyProtection="1">
      <alignment/>
      <protection/>
    </xf>
    <xf numFmtId="0" fontId="0" fillId="0" borderId="16" xfId="0" applyFill="1" applyBorder="1" applyAlignment="1" applyProtection="1">
      <alignment/>
      <protection/>
    </xf>
    <xf numFmtId="0" fontId="12" fillId="0" borderId="10" xfId="0" applyFont="1" applyFill="1" applyBorder="1" applyAlignment="1" applyProtection="1">
      <alignment/>
      <protection/>
    </xf>
    <xf numFmtId="0" fontId="0" fillId="0" borderId="1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2"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Border="1" applyAlignment="1" applyProtection="1">
      <alignment/>
      <protection/>
    </xf>
    <xf numFmtId="185" fontId="1" fillId="0" borderId="0" xfId="0" applyNumberFormat="1"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6" xfId="0" applyFont="1" applyFill="1" applyBorder="1" applyAlignment="1" applyProtection="1">
      <alignment/>
      <protection/>
    </xf>
    <xf numFmtId="0" fontId="0" fillId="0" borderId="18" xfId="0" applyFont="1" applyFill="1" applyBorder="1" applyAlignment="1" applyProtection="1">
      <alignment/>
      <protection/>
    </xf>
    <xf numFmtId="0" fontId="2" fillId="0" borderId="26" xfId="0" applyFont="1" applyFill="1" applyBorder="1" applyAlignment="1" applyProtection="1">
      <alignment/>
      <protection/>
    </xf>
    <xf numFmtId="182" fontId="1" fillId="0" borderId="11"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1" fillId="0" borderId="0" xfId="0" applyFont="1" applyFill="1" applyBorder="1" applyAlignment="1" applyProtection="1">
      <alignment/>
      <protection/>
    </xf>
    <xf numFmtId="0" fontId="0" fillId="0" borderId="21" xfId="0" applyFont="1" applyFill="1" applyBorder="1" applyAlignment="1" applyProtection="1">
      <alignment/>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horizontal="center"/>
      <protection/>
    </xf>
    <xf numFmtId="0" fontId="4" fillId="0" borderId="31" xfId="0" applyNumberFormat="1" applyFont="1" applyFill="1" applyBorder="1" applyAlignment="1" applyProtection="1">
      <alignment horizontal="center"/>
      <protection/>
    </xf>
    <xf numFmtId="0" fontId="4" fillId="0" borderId="32" xfId="0" applyNumberFormat="1" applyFont="1" applyFill="1" applyBorder="1" applyAlignment="1" applyProtection="1">
      <alignment horizontal="center"/>
      <protection/>
    </xf>
    <xf numFmtId="0" fontId="4" fillId="0" borderId="33" xfId="0" applyNumberFormat="1" applyFont="1" applyFill="1" applyBorder="1" applyAlignment="1" applyProtection="1">
      <alignment horizontal="center"/>
      <protection/>
    </xf>
    <xf numFmtId="0" fontId="1" fillId="0" borderId="34" xfId="0" applyNumberFormat="1" applyFont="1" applyFill="1" applyBorder="1" applyAlignment="1" applyProtection="1">
      <alignment horizontal="center"/>
      <protection/>
    </xf>
    <xf numFmtId="0" fontId="1" fillId="0" borderId="35" xfId="0" applyNumberFormat="1" applyFont="1" applyFill="1" applyBorder="1" applyAlignment="1" applyProtection="1">
      <alignment horizontal="center"/>
      <protection/>
    </xf>
    <xf numFmtId="0" fontId="1" fillId="0" borderId="36" xfId="0" applyNumberFormat="1" applyFont="1" applyFill="1" applyBorder="1" applyAlignment="1" applyProtection="1">
      <alignment horizontal="center"/>
      <protection/>
    </xf>
    <xf numFmtId="0" fontId="1" fillId="0" borderId="37" xfId="0" applyNumberFormat="1" applyFont="1" applyFill="1" applyBorder="1" applyAlignment="1" applyProtection="1">
      <alignment horizontal="center"/>
      <protection/>
    </xf>
    <xf numFmtId="0" fontId="1" fillId="0" borderId="38" xfId="0" applyNumberFormat="1" applyFont="1" applyFill="1" applyBorder="1" applyAlignment="1" applyProtection="1">
      <alignment horizontal="center"/>
      <protection/>
    </xf>
    <xf numFmtId="0" fontId="1" fillId="0" borderId="39" xfId="0" applyNumberFormat="1" applyFont="1" applyFill="1" applyBorder="1" applyAlignment="1" applyProtection="1">
      <alignment horizontal="center"/>
      <protection/>
    </xf>
    <xf numFmtId="0" fontId="1" fillId="0" borderId="40" xfId="0" applyNumberFormat="1" applyFont="1" applyFill="1" applyBorder="1" applyAlignment="1" applyProtection="1">
      <alignment horizontal="center"/>
      <protection/>
    </xf>
    <xf numFmtId="0" fontId="1" fillId="0" borderId="41" xfId="0" applyNumberFormat="1" applyFont="1" applyFill="1" applyBorder="1" applyAlignment="1" applyProtection="1">
      <alignment horizontal="center"/>
      <protection/>
    </xf>
    <xf numFmtId="0" fontId="4" fillId="0" borderId="42" xfId="0" applyNumberFormat="1" applyFont="1" applyFill="1" applyBorder="1" applyAlignment="1" applyProtection="1">
      <alignment horizontal="center"/>
      <protection/>
    </xf>
    <xf numFmtId="0" fontId="1" fillId="0" borderId="43" xfId="0" applyNumberFormat="1" applyFont="1" applyFill="1" applyBorder="1" applyAlignment="1" applyProtection="1">
      <alignment/>
      <protection/>
    </xf>
    <xf numFmtId="0" fontId="1" fillId="0" borderId="44" xfId="0" applyNumberFormat="1" applyFont="1" applyFill="1" applyBorder="1" applyAlignment="1" applyProtection="1">
      <alignment horizontal="center"/>
      <protection/>
    </xf>
    <xf numFmtId="0" fontId="1" fillId="0" borderId="43" xfId="0" applyNumberFormat="1" applyFont="1" applyFill="1" applyBorder="1" applyAlignment="1" applyProtection="1">
      <alignment horizontal="center"/>
      <protection/>
    </xf>
    <xf numFmtId="0" fontId="1" fillId="0" borderId="45" xfId="0" applyNumberFormat="1" applyFont="1" applyFill="1" applyBorder="1" applyAlignment="1" applyProtection="1">
      <alignment horizontal="center"/>
      <protection/>
    </xf>
    <xf numFmtId="0" fontId="1" fillId="9" borderId="46" xfId="0" applyNumberFormat="1" applyFont="1" applyFill="1" applyBorder="1" applyAlignment="1" applyProtection="1">
      <alignment horizontal="center"/>
      <protection locked="0"/>
    </xf>
    <xf numFmtId="0" fontId="1" fillId="0" borderId="46" xfId="0" applyNumberFormat="1" applyFont="1" applyFill="1" applyBorder="1" applyAlignment="1" applyProtection="1">
      <alignment horizontal="center"/>
      <protection/>
    </xf>
    <xf numFmtId="0" fontId="0" fillId="0" borderId="0" xfId="0" applyFont="1" applyFill="1" applyAlignment="1">
      <alignment/>
    </xf>
    <xf numFmtId="0" fontId="0" fillId="0" borderId="0" xfId="0" applyFill="1" applyAlignment="1">
      <alignment/>
    </xf>
    <xf numFmtId="0" fontId="0" fillId="0" borderId="47" xfId="0" applyFill="1" applyBorder="1" applyAlignment="1" applyProtection="1">
      <alignment/>
      <protection/>
    </xf>
    <xf numFmtId="0" fontId="1" fillId="0" borderId="47" xfId="0" applyFont="1" applyFill="1" applyBorder="1" applyAlignment="1" applyProtection="1">
      <alignment/>
      <protection locked="0"/>
    </xf>
    <xf numFmtId="0" fontId="1" fillId="0" borderId="48" xfId="0" applyFont="1" applyFill="1" applyBorder="1" applyAlignment="1" applyProtection="1">
      <alignment/>
      <protection locked="0"/>
    </xf>
    <xf numFmtId="0" fontId="0" fillId="0" borderId="0" xfId="0" applyFill="1" applyAlignment="1" applyProtection="1">
      <alignment/>
      <protection locked="0"/>
    </xf>
    <xf numFmtId="0" fontId="1"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4" fillId="0" borderId="49" xfId="0" applyFont="1" applyFill="1" applyBorder="1" applyAlignment="1" applyProtection="1">
      <alignment horizontal="center"/>
      <protection locked="0"/>
    </xf>
    <xf numFmtId="0" fontId="4" fillId="0" borderId="50" xfId="0" applyFont="1" applyFill="1" applyBorder="1" applyAlignment="1" applyProtection="1">
      <alignment/>
      <protection locked="0"/>
    </xf>
    <xf numFmtId="0" fontId="4" fillId="0" borderId="48" xfId="0" applyFont="1" applyFill="1" applyBorder="1" applyAlignment="1" applyProtection="1">
      <alignment/>
      <protection locked="0"/>
    </xf>
    <xf numFmtId="0" fontId="1" fillId="0" borderId="51" xfId="0" applyFont="1" applyFill="1" applyBorder="1" applyAlignment="1" applyProtection="1">
      <alignment horizontal="center"/>
      <protection locked="0"/>
    </xf>
    <xf numFmtId="0" fontId="1" fillId="0" borderId="11" xfId="0" applyFont="1" applyFill="1" applyBorder="1" applyAlignment="1" applyProtection="1">
      <alignment/>
      <protection locked="0"/>
    </xf>
    <xf numFmtId="0" fontId="1" fillId="0" borderId="0" xfId="0" applyFont="1" applyFill="1" applyAlignment="1" applyProtection="1">
      <alignment/>
      <protection locked="0"/>
    </xf>
    <xf numFmtId="0" fontId="1" fillId="0" borderId="46" xfId="0" applyFont="1" applyFill="1" applyBorder="1" applyAlignment="1" applyProtection="1">
      <alignment horizontal="center"/>
      <protection locked="0"/>
    </xf>
    <xf numFmtId="0" fontId="1" fillId="0" borderId="13" xfId="0" applyFont="1" applyFill="1" applyBorder="1" applyAlignment="1" applyProtection="1">
      <alignment/>
      <protection locked="0"/>
    </xf>
    <xf numFmtId="0" fontId="1" fillId="0" borderId="14" xfId="0" applyFont="1" applyFill="1" applyBorder="1" applyAlignment="1" applyProtection="1">
      <alignment/>
      <protection locked="0"/>
    </xf>
    <xf numFmtId="0" fontId="1" fillId="0" borderId="49" xfId="0" applyFont="1" applyFill="1" applyBorder="1" applyAlignment="1" applyProtection="1">
      <alignment horizontal="center"/>
      <protection locked="0"/>
    </xf>
    <xf numFmtId="0" fontId="1" fillId="0" borderId="52" xfId="0" applyNumberFormat="1" applyFont="1" applyFill="1" applyBorder="1" applyAlignment="1" applyProtection="1">
      <alignment horizontal="center"/>
      <protection locked="0"/>
    </xf>
    <xf numFmtId="0" fontId="1" fillId="0" borderId="53"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1" fillId="0" borderId="54" xfId="0" applyFont="1" applyFill="1" applyBorder="1" applyAlignment="1" applyProtection="1">
      <alignment horizontal="center"/>
      <protection locked="0"/>
    </xf>
    <xf numFmtId="0" fontId="1" fillId="0" borderId="55" xfId="0" applyFont="1" applyFill="1" applyBorder="1" applyAlignment="1" applyProtection="1">
      <alignment/>
      <protection locked="0"/>
    </xf>
    <xf numFmtId="0" fontId="1" fillId="0" borderId="55" xfId="0" applyFont="1" applyFill="1" applyBorder="1" applyAlignment="1" applyProtection="1">
      <alignment horizontal="center"/>
      <protection locked="0"/>
    </xf>
    <xf numFmtId="0" fontId="1" fillId="0" borderId="13" xfId="0" applyFont="1" applyFill="1" applyBorder="1" applyAlignment="1" applyProtection="1">
      <alignment/>
      <protection locked="0"/>
    </xf>
    <xf numFmtId="0" fontId="1" fillId="0" borderId="10"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Alignment="1" applyProtection="1">
      <alignment/>
      <protection locked="0"/>
    </xf>
    <xf numFmtId="0" fontId="4" fillId="0" borderId="26" xfId="0" applyFont="1" applyFill="1" applyBorder="1" applyAlignment="1" applyProtection="1">
      <alignment horizontal="center"/>
      <protection locked="0"/>
    </xf>
    <xf numFmtId="0" fontId="4" fillId="0" borderId="18" xfId="0" applyFont="1" applyFill="1" applyBorder="1" applyAlignment="1" applyProtection="1">
      <alignment/>
      <protection locked="0"/>
    </xf>
    <xf numFmtId="0" fontId="1" fillId="0" borderId="26" xfId="0" applyFont="1" applyFill="1" applyBorder="1" applyAlignment="1" applyProtection="1">
      <alignment horizontal="center"/>
      <protection locked="0"/>
    </xf>
    <xf numFmtId="0" fontId="1" fillId="0" borderId="15" xfId="0" applyFont="1" applyFill="1" applyBorder="1" applyAlignment="1" applyProtection="1">
      <alignment/>
      <protection locked="0"/>
    </xf>
    <xf numFmtId="0" fontId="1" fillId="0" borderId="18" xfId="0" applyFont="1" applyFill="1" applyBorder="1" applyAlignment="1" applyProtection="1">
      <alignment/>
      <protection locked="0"/>
    </xf>
    <xf numFmtId="0" fontId="1" fillId="0" borderId="16" xfId="0" applyFont="1" applyFill="1" applyBorder="1" applyAlignment="1" applyProtection="1">
      <alignment/>
      <protection locked="0"/>
    </xf>
    <xf numFmtId="0" fontId="1" fillId="0" borderId="50" xfId="0" applyFont="1" applyFill="1" applyBorder="1" applyAlignment="1" applyProtection="1">
      <alignment/>
      <protection locked="0"/>
    </xf>
    <xf numFmtId="0" fontId="1" fillId="0" borderId="50" xfId="0" applyFont="1" applyFill="1" applyBorder="1" applyAlignment="1" applyProtection="1">
      <alignment/>
      <protection locked="0"/>
    </xf>
    <xf numFmtId="0" fontId="0" fillId="0" borderId="0" xfId="0" applyFill="1" applyBorder="1" applyAlignment="1" applyProtection="1">
      <alignment/>
      <protection locked="0"/>
    </xf>
    <xf numFmtId="0" fontId="1" fillId="0" borderId="15" xfId="0" applyFont="1" applyFill="1" applyBorder="1" applyAlignment="1" applyProtection="1">
      <alignment/>
      <protection locked="0"/>
    </xf>
    <xf numFmtId="0" fontId="1" fillId="0" borderId="11"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13" xfId="0"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4" fillId="0" borderId="46" xfId="0" applyFont="1" applyFill="1" applyBorder="1" applyAlignment="1" applyProtection="1">
      <alignment horizontal="center"/>
      <protection locked="0"/>
    </xf>
    <xf numFmtId="0" fontId="4" fillId="0" borderId="10" xfId="0" applyFont="1" applyFill="1" applyBorder="1" applyAlignment="1" applyProtection="1">
      <alignment/>
      <protection locked="0"/>
    </xf>
    <xf numFmtId="0" fontId="1" fillId="0" borderId="26" xfId="0" applyNumberFormat="1" applyFont="1" applyFill="1" applyBorder="1" applyAlignment="1" applyProtection="1">
      <alignment horizontal="center"/>
      <protection locked="0"/>
    </xf>
    <xf numFmtId="0" fontId="1" fillId="0" borderId="12" xfId="0" applyFont="1" applyFill="1" applyBorder="1" applyAlignment="1" applyProtection="1">
      <alignment/>
      <protection locked="0"/>
    </xf>
    <xf numFmtId="0" fontId="1" fillId="0" borderId="10" xfId="0" applyFont="1" applyFill="1" applyBorder="1" applyAlignment="1" applyProtection="1">
      <alignment/>
      <protection locked="0"/>
    </xf>
    <xf numFmtId="0" fontId="1" fillId="0" borderId="0" xfId="0" applyFont="1" applyFill="1" applyBorder="1" applyAlignment="1" applyProtection="1">
      <alignment/>
      <protection locked="0"/>
    </xf>
    <xf numFmtId="0" fontId="4" fillId="0" borderId="47" xfId="0" applyFont="1" applyFill="1" applyBorder="1" applyAlignment="1" applyProtection="1">
      <alignment/>
      <protection locked="0"/>
    </xf>
    <xf numFmtId="0" fontId="1" fillId="0" borderId="11"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6" xfId="0" applyFont="1" applyFill="1" applyBorder="1" applyAlignment="1" applyProtection="1">
      <alignment/>
      <protection locked="0"/>
    </xf>
    <xf numFmtId="0" fontId="1" fillId="0" borderId="46" xfId="0" applyFont="1" applyFill="1" applyBorder="1" applyAlignment="1" applyProtection="1">
      <alignment/>
      <protection locked="0"/>
    </xf>
    <xf numFmtId="0" fontId="1"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1" fillId="0" borderId="13" xfId="0" applyFont="1" applyFill="1" applyBorder="1" applyAlignment="1" applyProtection="1">
      <alignment/>
      <protection locked="0"/>
    </xf>
    <xf numFmtId="0" fontId="4" fillId="0" borderId="0" xfId="0" applyFont="1" applyFill="1" applyAlignment="1" applyProtection="1">
      <alignment/>
      <protection locked="0"/>
    </xf>
    <xf numFmtId="0" fontId="1" fillId="0" borderId="15" xfId="0" applyNumberFormat="1" applyFont="1" applyFill="1" applyBorder="1" applyAlignment="1" applyProtection="1">
      <alignment/>
      <protection locked="0"/>
    </xf>
    <xf numFmtId="0" fontId="1" fillId="0" borderId="11" xfId="0" applyNumberFormat="1" applyFont="1" applyFill="1" applyBorder="1" applyAlignment="1" applyProtection="1">
      <alignment/>
      <protection locked="0"/>
    </xf>
    <xf numFmtId="0" fontId="1" fillId="0" borderId="11" xfId="0" applyFont="1" applyFill="1" applyBorder="1" applyAlignment="1" applyProtection="1">
      <alignment/>
      <protection locked="0"/>
    </xf>
    <xf numFmtId="0" fontId="1" fillId="0" borderId="0" xfId="0" applyFont="1" applyFill="1" applyAlignment="1" applyProtection="1">
      <alignment/>
      <protection locked="0"/>
    </xf>
    <xf numFmtId="2" fontId="1" fillId="0" borderId="0" xfId="0" applyNumberFormat="1" applyFont="1" applyFill="1" applyBorder="1" applyAlignment="1" applyProtection="1">
      <alignment horizontal="center"/>
      <protection locked="0"/>
    </xf>
    <xf numFmtId="0" fontId="1" fillId="0" borderId="1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 fillId="0" borderId="47" xfId="0" applyFont="1" applyFill="1" applyBorder="1" applyAlignment="1" applyProtection="1">
      <alignment/>
      <protection locked="0"/>
    </xf>
    <xf numFmtId="0" fontId="1" fillId="0" borderId="47" xfId="0" applyFont="1" applyFill="1" applyBorder="1" applyAlignment="1" applyProtection="1">
      <alignment vertical="center"/>
      <protection locked="0"/>
    </xf>
    <xf numFmtId="0" fontId="1" fillId="0" borderId="11" xfId="0" applyFont="1" applyFill="1" applyBorder="1" applyAlignment="1" applyProtection="1">
      <alignment/>
      <protection locked="0"/>
    </xf>
    <xf numFmtId="0" fontId="1" fillId="0" borderId="12" xfId="0" applyFont="1" applyFill="1" applyBorder="1" applyAlignment="1" applyProtection="1">
      <alignment vertical="center"/>
      <protection locked="0"/>
    </xf>
    <xf numFmtId="0" fontId="9" fillId="0" borderId="0" xfId="0" applyFont="1" applyFill="1" applyAlignment="1" applyProtection="1">
      <alignment/>
      <protection locked="0"/>
    </xf>
    <xf numFmtId="0" fontId="1" fillId="0" borderId="0" xfId="0" applyFont="1" applyFill="1" applyBorder="1" applyAlignment="1" applyProtection="1">
      <alignment vertical="center"/>
      <protection locked="0"/>
    </xf>
    <xf numFmtId="0" fontId="1" fillId="0" borderId="16" xfId="0" applyFont="1" applyFill="1" applyBorder="1" applyAlignment="1" applyProtection="1">
      <alignment/>
      <protection locked="0"/>
    </xf>
    <xf numFmtId="0" fontId="1" fillId="0" borderId="16" xfId="0" applyFont="1" applyFill="1" applyBorder="1" applyAlignment="1" applyProtection="1">
      <alignment vertical="center"/>
      <protection locked="0"/>
    </xf>
    <xf numFmtId="0" fontId="4" fillId="0" borderId="13" xfId="0" applyFont="1" applyFill="1" applyBorder="1" applyAlignment="1" applyProtection="1">
      <alignment/>
      <protection locked="0"/>
    </xf>
    <xf numFmtId="0" fontId="4" fillId="0" borderId="47"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1" fillId="0" borderId="10" xfId="0" applyFont="1" applyFill="1" applyBorder="1" applyAlignment="1" applyProtection="1">
      <alignment/>
      <protection locked="0"/>
    </xf>
    <xf numFmtId="0" fontId="0" fillId="0" borderId="47" xfId="0" applyFill="1" applyBorder="1" applyAlignment="1" applyProtection="1">
      <alignment/>
      <protection locked="0"/>
    </xf>
    <xf numFmtId="0" fontId="4" fillId="0" borderId="14"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0" xfId="0" applyFont="1" applyFill="1" applyBorder="1" applyAlignment="1" applyProtection="1">
      <alignment/>
      <protection locked="0"/>
    </xf>
    <xf numFmtId="0" fontId="4" fillId="15" borderId="50" xfId="0" applyFont="1" applyFill="1" applyBorder="1" applyAlignment="1" applyProtection="1">
      <alignment/>
      <protection locked="0"/>
    </xf>
    <xf numFmtId="0" fontId="1" fillId="15" borderId="47" xfId="0" applyFont="1" applyFill="1" applyBorder="1" applyAlignment="1" applyProtection="1">
      <alignment/>
      <protection locked="0"/>
    </xf>
    <xf numFmtId="0" fontId="1" fillId="15" borderId="48" xfId="0" applyFont="1" applyFill="1" applyBorder="1" applyAlignment="1" applyProtection="1">
      <alignment/>
      <protection locked="0"/>
    </xf>
    <xf numFmtId="0" fontId="4" fillId="15" borderId="50" xfId="0" applyFont="1" applyFill="1" applyBorder="1" applyAlignment="1" applyProtection="1">
      <alignment/>
      <protection locked="0"/>
    </xf>
    <xf numFmtId="0" fontId="1" fillId="0" borderId="51" xfId="0" applyFont="1" applyFill="1" applyBorder="1" applyAlignment="1" applyProtection="1">
      <alignment horizontal="center"/>
      <protection locked="0"/>
    </xf>
    <xf numFmtId="0" fontId="1" fillId="0" borderId="46" xfId="0" applyFont="1" applyFill="1" applyBorder="1" applyAlignment="1" applyProtection="1">
      <alignment horizontal="center"/>
      <protection locked="0"/>
    </xf>
    <xf numFmtId="0" fontId="4" fillId="15" borderId="15" xfId="0" applyFont="1" applyFill="1" applyBorder="1" applyAlignment="1" applyProtection="1">
      <alignment/>
      <protection locked="0"/>
    </xf>
    <xf numFmtId="0" fontId="0" fillId="15" borderId="16" xfId="0" applyFill="1" applyBorder="1" applyAlignment="1" applyProtection="1">
      <alignment/>
      <protection locked="0"/>
    </xf>
    <xf numFmtId="0" fontId="0" fillId="15" borderId="18" xfId="0" applyFill="1" applyBorder="1" applyAlignment="1" applyProtection="1">
      <alignment/>
      <protection locked="0"/>
    </xf>
    <xf numFmtId="0" fontId="4" fillId="15" borderId="15" xfId="0" applyFont="1" applyFill="1" applyBorder="1" applyAlignment="1" applyProtection="1">
      <alignment/>
      <protection locked="0"/>
    </xf>
    <xf numFmtId="0" fontId="1" fillId="15" borderId="16" xfId="0" applyFont="1" applyFill="1" applyBorder="1" applyAlignment="1" applyProtection="1">
      <alignment/>
      <protection locked="0"/>
    </xf>
    <xf numFmtId="0" fontId="1" fillId="15" borderId="18" xfId="0" applyFont="1" applyFill="1" applyBorder="1" applyAlignment="1" applyProtection="1">
      <alignment/>
      <protection locked="0"/>
    </xf>
    <xf numFmtId="0" fontId="1" fillId="15" borderId="47" xfId="0" applyFont="1" applyFill="1" applyBorder="1" applyAlignment="1" applyProtection="1">
      <alignment/>
      <protection locked="0"/>
    </xf>
    <xf numFmtId="0" fontId="1" fillId="15" borderId="48" xfId="0" applyFont="1" applyFill="1" applyBorder="1" applyAlignment="1" applyProtection="1">
      <alignment/>
      <protection locked="0"/>
    </xf>
    <xf numFmtId="0" fontId="1" fillId="15" borderId="16" xfId="0" applyFont="1" applyFill="1" applyBorder="1" applyAlignment="1" applyProtection="1">
      <alignment/>
      <protection locked="0"/>
    </xf>
    <xf numFmtId="0" fontId="1" fillId="15" borderId="18" xfId="0" applyFont="1" applyFill="1" applyBorder="1" applyAlignment="1" applyProtection="1">
      <alignment/>
      <protection locked="0"/>
    </xf>
    <xf numFmtId="0" fontId="1" fillId="15" borderId="48" xfId="0" applyFont="1" applyFill="1" applyBorder="1" applyAlignment="1" applyProtection="1">
      <alignment/>
      <protection locked="0"/>
    </xf>
    <xf numFmtId="0" fontId="1" fillId="15" borderId="48" xfId="0" applyFont="1" applyFill="1" applyBorder="1" applyAlignment="1" applyProtection="1">
      <alignment/>
      <protection locked="0"/>
    </xf>
    <xf numFmtId="0" fontId="0" fillId="15" borderId="18" xfId="0" applyFill="1" applyBorder="1" applyAlignment="1" applyProtection="1">
      <alignment/>
      <protection locked="0"/>
    </xf>
    <xf numFmtId="165" fontId="1" fillId="0" borderId="51" xfId="0" applyNumberFormat="1" applyFont="1" applyFill="1" applyBorder="1" applyAlignment="1" applyProtection="1">
      <alignment horizontal="center"/>
      <protection locked="0"/>
    </xf>
    <xf numFmtId="0" fontId="1" fillId="0" borderId="51" xfId="0" applyNumberFormat="1" applyFont="1" applyFill="1" applyBorder="1" applyAlignment="1" applyProtection="1">
      <alignment horizontal="center"/>
      <protection locked="0"/>
    </xf>
    <xf numFmtId="0" fontId="1" fillId="0" borderId="51" xfId="0" applyNumberFormat="1" applyFont="1" applyFill="1" applyBorder="1" applyAlignment="1" applyProtection="1">
      <alignment horizontal="center"/>
      <protection locked="0"/>
    </xf>
    <xf numFmtId="2" fontId="1" fillId="0" borderId="51" xfId="0" applyNumberFormat="1" applyFont="1" applyFill="1" applyBorder="1" applyAlignment="1" applyProtection="1">
      <alignment horizontal="center"/>
      <protection locked="0"/>
    </xf>
    <xf numFmtId="2" fontId="1" fillId="0" borderId="46" xfId="0" applyNumberFormat="1" applyFont="1" applyFill="1" applyBorder="1" applyAlignment="1" applyProtection="1">
      <alignment horizontal="center"/>
      <protection locked="0"/>
    </xf>
    <xf numFmtId="165" fontId="1" fillId="0" borderId="51" xfId="0" applyNumberFormat="1" applyFont="1" applyFill="1" applyBorder="1" applyAlignment="1" applyProtection="1">
      <alignment horizontal="center"/>
      <protection locked="0"/>
    </xf>
    <xf numFmtId="2" fontId="1" fillId="0" borderId="51" xfId="0" applyNumberFormat="1" applyFont="1" applyFill="1" applyBorder="1" applyAlignment="1" applyProtection="1">
      <alignment horizontal="center"/>
      <protection locked="0"/>
    </xf>
    <xf numFmtId="2" fontId="1" fillId="0" borderId="46"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0" fontId="1" fillId="0" borderId="46" xfId="0" applyFont="1" applyFill="1" applyBorder="1" applyAlignment="1" applyProtection="1">
      <alignment/>
      <protection locked="0"/>
    </xf>
    <xf numFmtId="0" fontId="1" fillId="0" borderId="49" xfId="0" applyFont="1" applyFill="1" applyBorder="1" applyAlignment="1" applyProtection="1">
      <alignment horizontal="center"/>
      <protection locked="0"/>
    </xf>
    <xf numFmtId="2" fontId="4" fillId="0" borderId="49" xfId="0" applyNumberFormat="1" applyFont="1" applyFill="1" applyBorder="1" applyAlignment="1" applyProtection="1">
      <alignment horizontal="center"/>
      <protection locked="0"/>
    </xf>
    <xf numFmtId="0" fontId="1" fillId="0" borderId="49" xfId="0" applyFont="1" applyFill="1" applyBorder="1" applyAlignment="1" applyProtection="1">
      <alignment/>
      <protection locked="0"/>
    </xf>
    <xf numFmtId="0" fontId="1" fillId="15" borderId="49" xfId="0" applyFont="1" applyFill="1" applyBorder="1" applyAlignment="1" applyProtection="1">
      <alignment/>
      <protection locked="0"/>
    </xf>
    <xf numFmtId="0" fontId="1" fillId="0" borderId="51" xfId="0" applyFont="1" applyFill="1" applyBorder="1" applyAlignment="1" applyProtection="1">
      <alignment/>
      <protection locked="0"/>
    </xf>
    <xf numFmtId="0" fontId="1" fillId="0" borderId="51" xfId="0" applyFont="1" applyFill="1" applyBorder="1" applyAlignment="1" applyProtection="1">
      <alignment/>
      <protection locked="0"/>
    </xf>
    <xf numFmtId="0" fontId="4" fillId="0" borderId="46" xfId="0" applyFont="1" applyFill="1" applyBorder="1" applyAlignment="1" applyProtection="1">
      <alignment/>
      <protection locked="0"/>
    </xf>
    <xf numFmtId="0" fontId="12" fillId="0" borderId="56" xfId="0" applyFont="1" applyFill="1" applyBorder="1" applyAlignment="1" applyProtection="1">
      <alignment/>
      <protection/>
    </xf>
    <xf numFmtId="0" fontId="0" fillId="0" borderId="56" xfId="0" applyFill="1" applyBorder="1" applyAlignment="1" applyProtection="1">
      <alignment/>
      <protection/>
    </xf>
    <xf numFmtId="0" fontId="10" fillId="0" borderId="56" xfId="0" applyFont="1" applyFill="1" applyBorder="1" applyAlignment="1" applyProtection="1">
      <alignment horizontal="right"/>
      <protection/>
    </xf>
    <xf numFmtId="0" fontId="1" fillId="0" borderId="57" xfId="0" applyNumberFormat="1" applyFont="1" applyFill="1" applyBorder="1" applyAlignment="1" applyProtection="1">
      <alignment horizontal="center"/>
      <protection/>
    </xf>
    <xf numFmtId="0" fontId="1" fillId="0" borderId="58" xfId="0" applyNumberFormat="1" applyFont="1" applyFill="1" applyBorder="1" applyAlignment="1" applyProtection="1">
      <alignment horizontal="center"/>
      <protection/>
    </xf>
    <xf numFmtId="0" fontId="1" fillId="9" borderId="59" xfId="0" applyNumberFormat="1" applyFont="1" applyFill="1" applyBorder="1" applyAlignment="1" applyProtection="1">
      <alignment horizontal="center"/>
      <protection locked="0"/>
    </xf>
    <xf numFmtId="0" fontId="1" fillId="9" borderId="10" xfId="0" applyNumberFormat="1" applyFont="1" applyFill="1" applyBorder="1" applyAlignment="1" applyProtection="1">
      <alignment horizontal="center"/>
      <protection locked="0"/>
    </xf>
    <xf numFmtId="0" fontId="1" fillId="0" borderId="5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0" xfId="0" applyFont="1" applyFill="1" applyBorder="1" applyAlignment="1" applyProtection="1">
      <alignment vertical="center"/>
      <protection locked="0"/>
    </xf>
    <xf numFmtId="0" fontId="9" fillId="0" borderId="10" xfId="0" applyFont="1" applyFill="1" applyBorder="1" applyAlignment="1" applyProtection="1">
      <alignment/>
      <protection locked="0"/>
    </xf>
    <xf numFmtId="0" fontId="12" fillId="0" borderId="10" xfId="0" applyFont="1" applyFill="1" applyBorder="1" applyAlignment="1" applyProtection="1">
      <alignment/>
      <protection locked="0"/>
    </xf>
    <xf numFmtId="0" fontId="0" fillId="0" borderId="0" xfId="0" applyFill="1" applyBorder="1" applyAlignment="1">
      <alignment/>
    </xf>
    <xf numFmtId="0" fontId="1" fillId="0" borderId="10" xfId="0" applyFont="1" applyFill="1" applyBorder="1" applyAlignment="1" applyProtection="1">
      <alignment vertical="center"/>
      <protection locked="0"/>
    </xf>
    <xf numFmtId="1" fontId="1" fillId="0" borderId="51" xfId="0" applyNumberFormat="1" applyFont="1" applyFill="1" applyBorder="1" applyAlignment="1" applyProtection="1">
      <alignment horizontal="center"/>
      <protection locked="0"/>
    </xf>
    <xf numFmtId="0" fontId="19" fillId="0" borderId="47" xfId="0" applyFont="1" applyFill="1" applyBorder="1" applyAlignment="1" applyProtection="1">
      <alignment horizontal="right"/>
      <protection/>
    </xf>
    <xf numFmtId="0" fontId="1" fillId="0" borderId="60" xfId="0" applyNumberFormat="1" applyFont="1" applyFill="1" applyBorder="1" applyAlignment="1" applyProtection="1">
      <alignment horizontal="center"/>
      <protection/>
    </xf>
    <xf numFmtId="0" fontId="1" fillId="9" borderId="61" xfId="0" applyNumberFormat="1" applyFont="1" applyFill="1" applyBorder="1" applyAlignment="1" applyProtection="1">
      <alignment horizontal="center"/>
      <protection locked="0"/>
    </xf>
    <xf numFmtId="0" fontId="1" fillId="9" borderId="62"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165" fontId="1" fillId="0" borderId="0" xfId="0" applyNumberFormat="1"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1" fillId="0" borderId="64" xfId="0" applyFont="1" applyFill="1" applyBorder="1" applyAlignment="1" applyProtection="1">
      <alignment/>
      <protection locked="0"/>
    </xf>
    <xf numFmtId="0" fontId="1" fillId="0" borderId="65" xfId="0" applyFont="1" applyFill="1" applyBorder="1" applyAlignment="1" applyProtection="1">
      <alignment/>
      <protection locked="0"/>
    </xf>
    <xf numFmtId="0" fontId="1" fillId="0" borderId="65" xfId="0" applyFont="1" applyFill="1" applyBorder="1" applyAlignment="1" applyProtection="1">
      <alignment horizontal="center"/>
      <protection locked="0"/>
    </xf>
    <xf numFmtId="0" fontId="1" fillId="0" borderId="66"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4" fillId="0" borderId="49" xfId="0" applyNumberFormat="1" applyFont="1" applyFill="1" applyBorder="1" applyAlignment="1" applyProtection="1">
      <alignment horizontal="center"/>
      <protection locked="0"/>
    </xf>
    <xf numFmtId="0" fontId="1" fillId="0" borderId="66"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67"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4" fillId="15" borderId="49" xfId="0" applyFont="1" applyFill="1" applyBorder="1" applyAlignment="1" applyProtection="1">
      <alignment horizontal="center"/>
      <protection locked="0"/>
    </xf>
    <xf numFmtId="165" fontId="4" fillId="15" borderId="49" xfId="0" applyNumberFormat="1" applyFont="1" applyFill="1" applyBorder="1" applyAlignment="1" applyProtection="1">
      <alignment horizontal="center"/>
      <protection locked="0"/>
    </xf>
    <xf numFmtId="0" fontId="0" fillId="0" borderId="48" xfId="0" applyFill="1" applyBorder="1" applyAlignment="1">
      <alignment/>
    </xf>
    <xf numFmtId="0" fontId="0" fillId="0" borderId="10" xfId="0" applyFill="1" applyBorder="1" applyAlignment="1">
      <alignment/>
    </xf>
    <xf numFmtId="0" fontId="0" fillId="0" borderId="14" xfId="0" applyFill="1" applyBorder="1" applyAlignment="1">
      <alignment/>
    </xf>
    <xf numFmtId="0" fontId="1" fillId="0" borderId="46" xfId="0" applyFont="1" applyFill="1" applyBorder="1" applyAlignment="1">
      <alignment horizontal="center"/>
    </xf>
    <xf numFmtId="0" fontId="4" fillId="0" borderId="50" xfId="0" applyFont="1" applyFill="1" applyBorder="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Border="1" applyAlignment="1">
      <alignment horizontal="center"/>
    </xf>
    <xf numFmtId="0" fontId="0" fillId="0" borderId="16" xfId="0" applyFill="1" applyBorder="1" applyAlignment="1">
      <alignment/>
    </xf>
    <xf numFmtId="0" fontId="0" fillId="0" borderId="18" xfId="0" applyFill="1" applyBorder="1" applyAlignment="1">
      <alignment/>
    </xf>
    <xf numFmtId="0" fontId="0" fillId="0" borderId="12" xfId="0" applyFill="1" applyBorder="1" applyAlignment="1">
      <alignment/>
    </xf>
    <xf numFmtId="0" fontId="1" fillId="0" borderId="26" xfId="0" applyFont="1" applyFill="1" applyBorder="1" applyAlignment="1" applyProtection="1">
      <alignment horizontal="center"/>
      <protection locked="0"/>
    </xf>
    <xf numFmtId="0" fontId="1" fillId="0" borderId="51"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protection locked="0"/>
    </xf>
    <xf numFmtId="0" fontId="1" fillId="15" borderId="49" xfId="0" applyFont="1" applyFill="1" applyBorder="1" applyAlignment="1">
      <alignment horizontal="center"/>
    </xf>
    <xf numFmtId="0" fontId="1" fillId="15" borderId="49" xfId="0" applyFont="1" applyFill="1" applyBorder="1" applyAlignment="1" applyProtection="1">
      <alignment horizontal="center"/>
      <protection/>
    </xf>
    <xf numFmtId="0" fontId="4" fillId="0" borderId="49" xfId="0" applyFont="1" applyFill="1" applyBorder="1" applyAlignment="1">
      <alignment horizontal="center"/>
    </xf>
    <xf numFmtId="0" fontId="4" fillId="0" borderId="50"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6" xfId="0" applyFill="1" applyBorder="1" applyAlignment="1" applyProtection="1">
      <alignment/>
      <protection locked="0"/>
    </xf>
    <xf numFmtId="0" fontId="4" fillId="0" borderId="13" xfId="0" applyFont="1" applyFill="1" applyBorder="1" applyAlignment="1" applyProtection="1">
      <alignment horizontal="center"/>
      <protection locked="0"/>
    </xf>
    <xf numFmtId="0" fontId="0" fillId="15" borderId="48" xfId="0" applyFill="1" applyBorder="1" applyAlignment="1">
      <alignment/>
    </xf>
    <xf numFmtId="0" fontId="1" fillId="0" borderId="68" xfId="0" applyFont="1" applyFill="1" applyBorder="1" applyAlignment="1" applyProtection="1">
      <alignment/>
      <protection locked="0"/>
    </xf>
    <xf numFmtId="0" fontId="0" fillId="0" borderId="67" xfId="0" applyFill="1" applyBorder="1" applyAlignment="1">
      <alignment/>
    </xf>
    <xf numFmtId="0" fontId="1" fillId="0" borderId="69" xfId="0" applyNumberFormat="1" applyFont="1" applyFill="1" applyBorder="1" applyAlignment="1" applyProtection="1">
      <alignment horizontal="center"/>
      <protection/>
    </xf>
    <xf numFmtId="0" fontId="1" fillId="0" borderId="70" xfId="0" applyNumberFormat="1" applyFont="1" applyFill="1" applyBorder="1" applyAlignment="1" applyProtection="1">
      <alignment horizontal="center"/>
      <protection/>
    </xf>
    <xf numFmtId="0" fontId="1" fillId="0" borderId="71" xfId="0" applyNumberFormat="1" applyFont="1" applyFill="1" applyBorder="1" applyAlignment="1" applyProtection="1">
      <alignment horizontal="center"/>
      <protection/>
    </xf>
    <xf numFmtId="0" fontId="1" fillId="0" borderId="72" xfId="0" applyNumberFormat="1" applyFont="1" applyFill="1" applyBorder="1" applyAlignment="1" applyProtection="1">
      <alignment horizontal="center"/>
      <protection/>
    </xf>
    <xf numFmtId="0" fontId="1" fillId="0" borderId="73" xfId="0" applyNumberFormat="1" applyFont="1" applyFill="1" applyBorder="1" applyAlignment="1" applyProtection="1">
      <alignment horizontal="center"/>
      <protection/>
    </xf>
    <xf numFmtId="0" fontId="1" fillId="9" borderId="49" xfId="0" applyNumberFormat="1" applyFont="1" applyFill="1" applyBorder="1" applyAlignment="1" applyProtection="1">
      <alignment horizontal="center"/>
      <protection locked="0"/>
    </xf>
    <xf numFmtId="0" fontId="1" fillId="9" borderId="74" xfId="0" applyNumberFormat="1" applyFont="1" applyFill="1" applyBorder="1" applyAlignment="1" applyProtection="1">
      <alignment horizontal="center"/>
      <protection locked="0"/>
    </xf>
    <xf numFmtId="0" fontId="1" fillId="9" borderId="75" xfId="0" applyNumberFormat="1" applyFont="1" applyFill="1" applyBorder="1" applyAlignment="1" applyProtection="1">
      <alignment horizontal="center"/>
      <protection locked="0"/>
    </xf>
    <xf numFmtId="0" fontId="1" fillId="9" borderId="76"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left"/>
      <protection/>
    </xf>
    <xf numFmtId="0" fontId="1" fillId="9" borderId="77" xfId="0" applyNumberFormat="1" applyFont="1" applyFill="1" applyBorder="1" applyAlignment="1" applyProtection="1">
      <alignment horizontal="center"/>
      <protection locked="0"/>
    </xf>
    <xf numFmtId="0" fontId="1" fillId="9" borderId="78" xfId="0" applyNumberFormat="1" applyFont="1" applyFill="1" applyBorder="1" applyAlignment="1" applyProtection="1">
      <alignment horizontal="center"/>
      <protection locked="0"/>
    </xf>
    <xf numFmtId="0" fontId="1" fillId="9" borderId="79" xfId="0" applyNumberFormat="1" applyFont="1" applyFill="1" applyBorder="1" applyAlignment="1" applyProtection="1">
      <alignment horizontal="center"/>
      <protection locked="0"/>
    </xf>
    <xf numFmtId="0" fontId="4" fillId="15" borderId="50" xfId="0" applyFont="1" applyFill="1" applyBorder="1" applyAlignment="1" applyProtection="1">
      <alignment/>
      <protection locked="0"/>
    </xf>
    <xf numFmtId="0" fontId="4"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1" fillId="9" borderId="46" xfId="0" applyNumberFormat="1" applyFont="1" applyFill="1" applyBorder="1" applyAlignment="1" applyProtection="1">
      <alignment horizontal="center"/>
      <protection locked="0"/>
    </xf>
    <xf numFmtId="0" fontId="1" fillId="9" borderId="62" xfId="0" applyNumberFormat="1" applyFont="1" applyFill="1" applyBorder="1" applyAlignment="1" applyProtection="1">
      <alignment horizontal="center"/>
      <protection locked="0"/>
    </xf>
    <xf numFmtId="0" fontId="1" fillId="0" borderId="80" xfId="0" applyNumberFormat="1" applyFont="1" applyFill="1" applyBorder="1" applyAlignment="1" applyProtection="1">
      <alignment horizontal="center"/>
      <protection/>
    </xf>
    <xf numFmtId="0" fontId="1" fillId="0" borderId="81" xfId="0" applyNumberFormat="1" applyFont="1" applyFill="1" applyBorder="1" applyAlignment="1" applyProtection="1">
      <alignment horizontal="center"/>
      <protection/>
    </xf>
    <xf numFmtId="0" fontId="1" fillId="0" borderId="82" xfId="0" applyNumberFormat="1" applyFont="1" applyFill="1" applyBorder="1" applyAlignment="1" applyProtection="1">
      <alignment horizontal="center"/>
      <protection/>
    </xf>
    <xf numFmtId="0" fontId="1" fillId="0" borderId="83" xfId="0" applyNumberFormat="1" applyFont="1" applyFill="1" applyBorder="1" applyAlignment="1" applyProtection="1">
      <alignment horizontal="center"/>
      <protection/>
    </xf>
    <xf numFmtId="0" fontId="1" fillId="0" borderId="77"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 fillId="0" borderId="28" xfId="0" applyNumberFormat="1" applyFont="1" applyFill="1" applyBorder="1" applyAlignment="1" applyProtection="1">
      <alignment horizontal="center"/>
      <protection/>
    </xf>
    <xf numFmtId="0" fontId="4" fillId="0" borderId="15" xfId="0" applyFont="1" applyFill="1" applyBorder="1" applyAlignment="1" applyProtection="1">
      <alignment/>
      <protection locked="0"/>
    </xf>
    <xf numFmtId="165" fontId="1" fillId="15" borderId="49"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1" fillId="15" borderId="49" xfId="0" applyNumberFormat="1" applyFont="1" applyFill="1" applyBorder="1" applyAlignment="1" applyProtection="1">
      <alignment horizontal="center"/>
      <protection/>
    </xf>
    <xf numFmtId="1" fontId="15" fillId="9" borderId="0" xfId="0" applyNumberFormat="1" applyFont="1" applyFill="1" applyBorder="1" applyAlignment="1" applyProtection="1">
      <alignment horizontal="center"/>
      <protection/>
    </xf>
    <xf numFmtId="178" fontId="1" fillId="9" borderId="14" xfId="0" applyNumberFormat="1" applyFont="1" applyFill="1" applyBorder="1" applyAlignment="1" applyProtection="1">
      <alignment horizontal="center"/>
      <protection locked="0"/>
    </xf>
    <xf numFmtId="178" fontId="4" fillId="0" borderId="26" xfId="0" applyNumberFormat="1" applyFont="1" applyFill="1" applyBorder="1" applyAlignment="1" applyProtection="1">
      <alignment horizontal="center"/>
      <protection locked="0"/>
    </xf>
    <xf numFmtId="185" fontId="1" fillId="9" borderId="14" xfId="0" applyNumberFormat="1" applyFont="1" applyFill="1" applyBorder="1" applyAlignment="1" applyProtection="1">
      <alignment horizontal="center"/>
      <protection locked="0"/>
    </xf>
    <xf numFmtId="0" fontId="0" fillId="0" borderId="0" xfId="0" applyFill="1" applyAlignment="1">
      <alignment/>
    </xf>
    <xf numFmtId="0" fontId="1" fillId="0" borderId="11" xfId="0" applyNumberFormat="1" applyFont="1" applyFill="1" applyBorder="1" applyAlignment="1" applyProtection="1">
      <alignment/>
      <protection/>
    </xf>
    <xf numFmtId="0" fontId="0" fillId="0" borderId="12" xfId="0" applyFill="1" applyBorder="1" applyAlignment="1">
      <alignment/>
    </xf>
    <xf numFmtId="0" fontId="1" fillId="0" borderId="13" xfId="0" applyNumberFormat="1" applyFont="1" applyFill="1" applyBorder="1" applyAlignment="1" applyProtection="1">
      <alignment/>
      <protection/>
    </xf>
    <xf numFmtId="0" fontId="0" fillId="0" borderId="14" xfId="0" applyFill="1" applyBorder="1" applyAlignment="1">
      <alignment/>
    </xf>
    <xf numFmtId="0" fontId="1" fillId="0" borderId="51" xfId="0" applyNumberFormat="1" applyFont="1" applyFill="1" applyBorder="1" applyAlignment="1" applyProtection="1">
      <alignment horizontal="center"/>
      <protection/>
    </xf>
    <xf numFmtId="0" fontId="1" fillId="0" borderId="46" xfId="0" applyNumberFormat="1" applyFont="1" applyFill="1" applyBorder="1" applyAlignment="1" applyProtection="1">
      <alignment horizontal="center"/>
      <protection/>
    </xf>
    <xf numFmtId="0" fontId="4" fillId="15" borderId="49" xfId="0" applyNumberFormat="1" applyFont="1" applyFill="1" applyBorder="1" applyAlignment="1" applyProtection="1">
      <alignment horizontal="center"/>
      <protection/>
    </xf>
    <xf numFmtId="0" fontId="4" fillId="15" borderId="50" xfId="0" applyNumberFormat="1" applyFont="1" applyFill="1" applyBorder="1" applyAlignment="1" applyProtection="1">
      <alignment/>
      <protection/>
    </xf>
    <xf numFmtId="0" fontId="0" fillId="15" borderId="48" xfId="0" applyFill="1" applyBorder="1" applyAlignment="1">
      <alignment/>
    </xf>
    <xf numFmtId="0" fontId="1" fillId="0" borderId="68" xfId="0" applyNumberFormat="1" applyFont="1" applyFill="1" applyBorder="1" applyAlignment="1" applyProtection="1">
      <alignment/>
      <protection locked="0"/>
    </xf>
    <xf numFmtId="0" fontId="4" fillId="0" borderId="47" xfId="0" applyFont="1" applyFill="1" applyBorder="1" applyAlignment="1" applyProtection="1">
      <alignment/>
      <protection locked="0"/>
    </xf>
    <xf numFmtId="0" fontId="12" fillId="0" borderId="48" xfId="0" applyFont="1" applyFill="1" applyBorder="1" applyAlignment="1">
      <alignment/>
    </xf>
    <xf numFmtId="0" fontId="1" fillId="0" borderId="54" xfId="0" applyNumberFormat="1" applyFont="1" applyFill="1" applyBorder="1" applyAlignment="1" applyProtection="1">
      <alignment horizontal="center"/>
      <protection/>
    </xf>
    <xf numFmtId="0" fontId="1" fillId="0" borderId="68" xfId="0" applyNumberFormat="1" applyFont="1" applyFill="1" applyBorder="1" applyAlignment="1" applyProtection="1">
      <alignment/>
      <protection/>
    </xf>
    <xf numFmtId="0" fontId="0" fillId="0" borderId="67" xfId="0" applyFill="1" applyBorder="1" applyAlignment="1">
      <alignment/>
    </xf>
    <xf numFmtId="0" fontId="1" fillId="0" borderId="84" xfId="0" applyNumberFormat="1" applyFont="1" applyFill="1" applyBorder="1" applyAlignment="1" applyProtection="1">
      <alignment horizontal="center"/>
      <protection/>
    </xf>
    <xf numFmtId="0" fontId="4" fillId="15" borderId="0" xfId="0" applyFont="1" applyFill="1" applyBorder="1" applyAlignment="1" applyProtection="1">
      <alignment/>
      <protection locked="0"/>
    </xf>
    <xf numFmtId="0" fontId="1" fillId="15" borderId="0" xfId="0" applyFont="1" applyFill="1" applyBorder="1" applyAlignment="1" applyProtection="1">
      <alignment/>
      <protection locked="0"/>
    </xf>
    <xf numFmtId="0" fontId="1" fillId="15" borderId="0" xfId="0" applyFont="1" applyFill="1" applyBorder="1" applyAlignment="1" applyProtection="1">
      <alignment/>
      <protection locked="0"/>
    </xf>
    <xf numFmtId="0" fontId="0" fillId="0" borderId="0" xfId="0" applyBorder="1" applyAlignment="1">
      <alignment/>
    </xf>
    <xf numFmtId="0" fontId="1" fillId="15" borderId="13" xfId="0" applyFont="1" applyFill="1" applyBorder="1" applyAlignment="1" applyProtection="1">
      <alignment/>
      <protection locked="0"/>
    </xf>
    <xf numFmtId="0" fontId="1" fillId="15" borderId="10" xfId="0" applyFont="1" applyFill="1" applyBorder="1" applyAlignment="1" applyProtection="1">
      <alignment/>
      <protection locked="0"/>
    </xf>
    <xf numFmtId="0" fontId="1" fillId="15" borderId="46" xfId="0" applyFont="1" applyFill="1" applyBorder="1" applyAlignment="1" applyProtection="1">
      <alignment horizontal="center"/>
      <protection locked="0"/>
    </xf>
    <xf numFmtId="0" fontId="1" fillId="0" borderId="18" xfId="0" applyFont="1" applyFill="1" applyBorder="1" applyAlignment="1" applyProtection="1">
      <alignment/>
      <protection locked="0"/>
    </xf>
    <xf numFmtId="0" fontId="1" fillId="0" borderId="12" xfId="0" applyFont="1" applyFill="1" applyBorder="1" applyAlignment="1" applyProtection="1">
      <alignment/>
      <protection locked="0"/>
    </xf>
    <xf numFmtId="0" fontId="1" fillId="15" borderId="14" xfId="0" applyFont="1" applyFill="1" applyBorder="1" applyAlignment="1" applyProtection="1">
      <alignment/>
      <protection locked="0"/>
    </xf>
    <xf numFmtId="0" fontId="1" fillId="15" borderId="51" xfId="0" applyFont="1" applyFill="1" applyBorder="1" applyAlignment="1" applyProtection="1">
      <alignment horizontal="center"/>
      <protection locked="0"/>
    </xf>
    <xf numFmtId="0" fontId="1" fillId="0" borderId="47" xfId="0" applyFont="1" applyFill="1" applyBorder="1" applyAlignment="1" applyProtection="1">
      <alignment/>
      <protection locked="0"/>
    </xf>
    <xf numFmtId="0" fontId="1" fillId="0" borderId="48" xfId="0" applyFont="1" applyFill="1" applyBorder="1" applyAlignment="1" applyProtection="1">
      <alignment horizontal="center"/>
      <protection locked="0"/>
    </xf>
    <xf numFmtId="0" fontId="0" fillId="15" borderId="16" xfId="0" applyFill="1" applyBorder="1" applyAlignment="1">
      <alignment/>
    </xf>
    <xf numFmtId="0" fontId="0" fillId="15" borderId="18" xfId="0" applyFill="1" applyBorder="1" applyAlignment="1">
      <alignment/>
    </xf>
    <xf numFmtId="0" fontId="12"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1" fillId="0" borderId="16" xfId="0" applyFont="1" applyFill="1" applyBorder="1" applyAlignment="1" applyProtection="1">
      <alignment horizontal="center"/>
      <protection locked="0"/>
    </xf>
    <xf numFmtId="0" fontId="4" fillId="15" borderId="11" xfId="0" applyFont="1" applyFill="1" applyBorder="1" applyAlignment="1" applyProtection="1">
      <alignment/>
      <protection locked="0"/>
    </xf>
    <xf numFmtId="0" fontId="1" fillId="15" borderId="12"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14" xfId="0" applyFont="1" applyFill="1" applyBorder="1" applyAlignment="1" applyProtection="1">
      <alignment/>
      <protection locked="0"/>
    </xf>
    <xf numFmtId="0" fontId="1" fillId="0" borderId="11" xfId="0" applyFont="1" applyFill="1" applyBorder="1" applyAlignment="1">
      <alignment/>
    </xf>
    <xf numFmtId="0" fontId="1" fillId="0" borderId="14" xfId="0" applyFont="1" applyFill="1" applyBorder="1" applyAlignment="1" applyProtection="1">
      <alignment/>
      <protection locked="0"/>
    </xf>
    <xf numFmtId="0" fontId="4" fillId="15" borderId="47" xfId="0" applyFont="1" applyFill="1" applyBorder="1" applyAlignment="1" applyProtection="1">
      <alignment/>
      <protection locked="0"/>
    </xf>
    <xf numFmtId="0" fontId="1" fillId="0" borderId="47" xfId="0" applyFont="1" applyFill="1" applyBorder="1" applyAlignment="1" applyProtection="1">
      <alignment/>
      <protection locked="0"/>
    </xf>
    <xf numFmtId="0" fontId="1" fillId="0" borderId="15" xfId="0" applyFont="1" applyFill="1" applyBorder="1" applyAlignment="1" applyProtection="1">
      <alignment/>
      <protection locked="0"/>
    </xf>
    <xf numFmtId="0" fontId="1" fillId="0" borderId="13" xfId="0" applyFont="1" applyFill="1" applyBorder="1" applyAlignment="1">
      <alignment/>
    </xf>
    <xf numFmtId="0" fontId="27" fillId="0" borderId="10" xfId="0" applyFont="1" applyFill="1" applyBorder="1" applyAlignment="1" applyProtection="1">
      <alignment/>
      <protection locked="0"/>
    </xf>
    <xf numFmtId="0" fontId="1" fillId="0" borderId="50" xfId="0" applyFont="1" applyFill="1" applyBorder="1" applyAlignment="1" applyProtection="1">
      <alignment/>
      <protection locked="0"/>
    </xf>
    <xf numFmtId="0" fontId="0" fillId="0" borderId="48" xfId="0" applyFill="1" applyBorder="1" applyAlignment="1" applyProtection="1">
      <alignment/>
      <protection locked="0"/>
    </xf>
    <xf numFmtId="0" fontId="1" fillId="0" borderId="49" xfId="0" applyNumberFormat="1" applyFont="1" applyFill="1" applyBorder="1" applyAlignment="1" applyProtection="1">
      <alignment/>
      <protection locked="0"/>
    </xf>
    <xf numFmtId="0" fontId="1" fillId="0" borderId="49" xfId="0" applyFont="1" applyFill="1" applyBorder="1" applyAlignment="1" applyProtection="1">
      <alignment vertical="center"/>
      <protection locked="0"/>
    </xf>
    <xf numFmtId="0" fontId="1" fillId="0" borderId="15"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protection/>
    </xf>
    <xf numFmtId="2" fontId="1" fillId="0" borderId="26" xfId="0" applyNumberFormat="1" applyFont="1" applyFill="1" applyBorder="1" applyAlignment="1" applyProtection="1">
      <alignment horizontal="center"/>
      <protection/>
    </xf>
    <xf numFmtId="2" fontId="1" fillId="0" borderId="51" xfId="0" applyNumberFormat="1" applyFont="1" applyFill="1" applyBorder="1" applyAlignment="1" applyProtection="1">
      <alignment horizontal="center"/>
      <protection/>
    </xf>
    <xf numFmtId="2" fontId="1" fillId="0" borderId="46" xfId="0" applyNumberFormat="1" applyFont="1" applyFill="1" applyBorder="1" applyAlignment="1" applyProtection="1">
      <alignment horizontal="center"/>
      <protection/>
    </xf>
    <xf numFmtId="0" fontId="0" fillId="0" borderId="0"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1" fillId="0" borderId="51" xfId="0" applyFont="1" applyFill="1" applyBorder="1" applyAlignment="1" applyProtection="1">
      <alignment vertical="center"/>
      <protection/>
    </xf>
    <xf numFmtId="0" fontId="1" fillId="0" borderId="51" xfId="0" applyFont="1" applyFill="1" applyBorder="1" applyAlignment="1" applyProtection="1">
      <alignment/>
      <protection locked="0"/>
    </xf>
    <xf numFmtId="0" fontId="1" fillId="0" borderId="46" xfId="0" applyFont="1" applyFill="1" applyBorder="1" applyAlignment="1" applyProtection="1">
      <alignment/>
      <protection locked="0"/>
    </xf>
    <xf numFmtId="0" fontId="12" fillId="0" borderId="48" xfId="0" applyFont="1" applyFill="1" applyBorder="1" applyAlignment="1">
      <alignment/>
    </xf>
    <xf numFmtId="2" fontId="4" fillId="0" borderId="49" xfId="0" applyNumberFormat="1" applyFont="1" applyFill="1" applyBorder="1" applyAlignment="1">
      <alignment horizontal="center"/>
    </xf>
    <xf numFmtId="0" fontId="4" fillId="0" borderId="49" xfId="0" applyFont="1" applyFill="1" applyBorder="1" applyAlignment="1">
      <alignment/>
    </xf>
    <xf numFmtId="0" fontId="1" fillId="0" borderId="0" xfId="0" applyFont="1" applyFill="1" applyAlignment="1" applyProtection="1">
      <alignment/>
      <protection/>
    </xf>
    <xf numFmtId="0" fontId="0" fillId="0" borderId="26" xfId="0" applyFill="1" applyBorder="1" applyAlignment="1">
      <alignment/>
    </xf>
    <xf numFmtId="0" fontId="1" fillId="0" borderId="51" xfId="0" applyFont="1" applyFill="1" applyBorder="1" applyAlignment="1">
      <alignment/>
    </xf>
    <xf numFmtId="0" fontId="1" fillId="0" borderId="46" xfId="0" applyFont="1" applyFill="1" applyBorder="1" applyAlignment="1">
      <alignment/>
    </xf>
    <xf numFmtId="0" fontId="1" fillId="0" borderId="26" xfId="0" applyFont="1" applyFill="1" applyBorder="1" applyAlignment="1">
      <alignment/>
    </xf>
    <xf numFmtId="0" fontId="4" fillId="0" borderId="50" xfId="0" applyFont="1" applyFill="1" applyBorder="1" applyAlignment="1" applyProtection="1">
      <alignment/>
      <protection/>
    </xf>
    <xf numFmtId="0" fontId="4" fillId="0" borderId="46" xfId="0" applyFont="1" applyFill="1" applyBorder="1" applyAlignment="1">
      <alignment/>
    </xf>
    <xf numFmtId="0" fontId="4" fillId="9" borderId="0" xfId="0" applyFont="1" applyFill="1" applyBorder="1" applyAlignment="1" applyProtection="1">
      <alignment horizontal="center"/>
      <protection/>
    </xf>
    <xf numFmtId="0" fontId="4" fillId="0" borderId="0" xfId="0" applyFont="1" applyBorder="1" applyAlignment="1">
      <alignment/>
    </xf>
    <xf numFmtId="0" fontId="0" fillId="0" borderId="0" xfId="0" applyNumberFormat="1" applyFill="1" applyBorder="1" applyAlignment="1">
      <alignment/>
    </xf>
    <xf numFmtId="0" fontId="4" fillId="0" borderId="50" xfId="0" applyNumberFormat="1" applyFont="1" applyFill="1" applyBorder="1" applyAlignment="1">
      <alignment/>
    </xf>
    <xf numFmtId="0" fontId="4" fillId="0" borderId="47" xfId="0" applyNumberFormat="1" applyFont="1" applyFill="1" applyBorder="1" applyAlignment="1">
      <alignment/>
    </xf>
    <xf numFmtId="0" fontId="12" fillId="0" borderId="47" xfId="0" applyNumberFormat="1" applyFont="1" applyFill="1" applyBorder="1" applyAlignment="1">
      <alignment/>
    </xf>
    <xf numFmtId="0" fontId="0" fillId="0" borderId="47" xfId="0" applyNumberFormat="1" applyFill="1" applyBorder="1" applyAlignment="1">
      <alignment/>
    </xf>
    <xf numFmtId="0" fontId="0" fillId="0" borderId="48" xfId="0" applyNumberFormat="1" applyFill="1" applyBorder="1" applyAlignment="1">
      <alignment/>
    </xf>
    <xf numFmtId="0" fontId="1" fillId="15" borderId="49" xfId="0" applyNumberFormat="1" applyFont="1" applyFill="1" applyBorder="1" applyAlignment="1">
      <alignment horizontal="center"/>
    </xf>
    <xf numFmtId="0" fontId="1" fillId="15" borderId="49" xfId="0" applyNumberFormat="1" applyFont="1" applyFill="1" applyBorder="1" applyAlignment="1" applyProtection="1">
      <alignment horizontal="center"/>
      <protection locked="0"/>
    </xf>
    <xf numFmtId="0" fontId="4" fillId="15" borderId="49" xfId="0" applyNumberFormat="1" applyFont="1" applyFill="1" applyBorder="1" applyAlignment="1" applyProtection="1">
      <alignment horizontal="center"/>
      <protection locked="0"/>
    </xf>
    <xf numFmtId="0" fontId="4" fillId="15" borderId="46" xfId="0" applyNumberFormat="1" applyFont="1" applyFill="1" applyBorder="1" applyAlignment="1">
      <alignment horizontal="center" vertical="center"/>
    </xf>
    <xf numFmtId="0" fontId="1" fillId="15" borderId="49" xfId="0" applyNumberFormat="1" applyFont="1" applyFill="1" applyBorder="1" applyAlignment="1" applyProtection="1">
      <alignment horizontal="center" vertical="center"/>
      <protection locked="0"/>
    </xf>
    <xf numFmtId="0" fontId="4" fillId="15" borderId="49" xfId="0" applyNumberFormat="1" applyFont="1" applyFill="1" applyBorder="1" applyAlignment="1" applyProtection="1">
      <alignment horizontal="center" vertical="center"/>
      <protection locked="0"/>
    </xf>
    <xf numFmtId="0" fontId="4" fillId="0" borderId="50" xfId="0" applyNumberFormat="1" applyFont="1" applyFill="1" applyBorder="1" applyAlignment="1">
      <alignment horizontal="center"/>
    </xf>
    <xf numFmtId="0" fontId="4" fillId="0" borderId="4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11" xfId="0" applyNumberFormat="1" applyFont="1" applyFill="1" applyBorder="1" applyAlignment="1">
      <alignment horizontal="center"/>
    </xf>
    <xf numFmtId="0" fontId="0" fillId="0" borderId="31" xfId="0" applyNumberFormat="1" applyFill="1" applyBorder="1" applyAlignment="1" applyProtection="1">
      <alignment/>
      <protection/>
    </xf>
    <xf numFmtId="0" fontId="1" fillId="0" borderId="0" xfId="0" applyNumberFormat="1" applyFont="1" applyFill="1" applyAlignment="1" applyProtection="1">
      <alignment/>
      <protection/>
    </xf>
    <xf numFmtId="0" fontId="1" fillId="0" borderId="0" xfId="0" applyFont="1" applyFill="1" applyAlignment="1" applyProtection="1">
      <alignment/>
      <protection/>
    </xf>
    <xf numFmtId="0" fontId="1" fillId="0" borderId="58" xfId="0" applyNumberFormat="1" applyFont="1" applyFill="1" applyBorder="1" applyAlignment="1" applyProtection="1">
      <alignment/>
      <protection/>
    </xf>
    <xf numFmtId="0" fontId="1" fillId="0" borderId="40" xfId="0" applyNumberFormat="1" applyFont="1" applyFill="1" applyBorder="1" applyAlignment="1" applyProtection="1">
      <alignment/>
      <protection/>
    </xf>
    <xf numFmtId="0" fontId="1" fillId="0" borderId="36" xfId="0" applyNumberFormat="1" applyFont="1" applyFill="1" applyBorder="1" applyAlignment="1" applyProtection="1">
      <alignment/>
      <protection/>
    </xf>
    <xf numFmtId="0" fontId="1" fillId="0" borderId="77" xfId="0" applyNumberFormat="1" applyFont="1" applyFill="1" applyBorder="1" applyAlignment="1" applyProtection="1">
      <alignment/>
      <protection/>
    </xf>
    <xf numFmtId="0" fontId="0" fillId="0" borderId="0" xfId="0" applyBorder="1"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26" xfId="0" applyNumberFormat="1" applyFont="1" applyBorder="1" applyAlignment="1">
      <alignment horizontal="center"/>
    </xf>
    <xf numFmtId="0" fontId="1" fillId="0" borderId="51" xfId="0" applyFont="1" applyBorder="1" applyAlignment="1">
      <alignment horizontal="center"/>
    </xf>
    <xf numFmtId="0" fontId="1" fillId="0" borderId="68" xfId="0" applyNumberFormat="1" applyFont="1" applyFill="1" applyBorder="1" applyAlignment="1" applyProtection="1">
      <alignment horizontal="center"/>
      <protection/>
    </xf>
    <xf numFmtId="0" fontId="4" fillId="15" borderId="49" xfId="0" applyFont="1" applyFill="1" applyBorder="1" applyAlignment="1">
      <alignment horizontal="center"/>
    </xf>
    <xf numFmtId="0" fontId="1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Alignment="1">
      <alignment/>
    </xf>
    <xf numFmtId="0" fontId="4" fillId="0" borderId="0" xfId="0" applyFont="1" applyFill="1" applyAlignment="1" applyProtection="1">
      <alignment/>
      <protection locked="0"/>
    </xf>
    <xf numFmtId="0" fontId="4" fillId="0" borderId="13"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49" xfId="0" applyFont="1" applyFill="1" applyBorder="1" applyAlignment="1" applyProtection="1">
      <alignment horizontal="center"/>
      <protection locked="0"/>
    </xf>
    <xf numFmtId="0" fontId="4" fillId="0" borderId="49" xfId="0" applyFont="1" applyFill="1" applyBorder="1" applyAlignment="1" applyProtection="1">
      <alignment vertical="center"/>
      <protection locked="0"/>
    </xf>
    <xf numFmtId="1" fontId="1" fillId="0" borderId="51"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xf>
    <xf numFmtId="0" fontId="0" fillId="15" borderId="16" xfId="0" applyFill="1" applyBorder="1" applyAlignment="1">
      <alignment/>
    </xf>
    <xf numFmtId="1" fontId="4" fillId="15" borderId="16" xfId="0" applyNumberFormat="1" applyFont="1" applyFill="1" applyBorder="1" applyAlignment="1" applyProtection="1">
      <alignment/>
      <protection locked="0"/>
    </xf>
    <xf numFmtId="0" fontId="4" fillId="15" borderId="18" xfId="0" applyFont="1" applyFill="1" applyBorder="1" applyAlignment="1" applyProtection="1">
      <alignment vertical="center"/>
      <protection locked="0"/>
    </xf>
    <xf numFmtId="0" fontId="4" fillId="15" borderId="13" xfId="0" applyFont="1" applyFill="1" applyBorder="1" applyAlignment="1" applyProtection="1">
      <alignment/>
      <protection locked="0"/>
    </xf>
    <xf numFmtId="0" fontId="0" fillId="15" borderId="10" xfId="0" applyFill="1" applyBorder="1" applyAlignment="1">
      <alignment/>
    </xf>
    <xf numFmtId="1" fontId="4" fillId="15" borderId="10" xfId="0" applyNumberFormat="1" applyFont="1" applyFill="1" applyBorder="1" applyAlignment="1">
      <alignment/>
    </xf>
    <xf numFmtId="0" fontId="4" fillId="15" borderId="14" xfId="0" applyFont="1" applyFill="1" applyBorder="1" applyAlignment="1" applyProtection="1">
      <alignment vertical="center"/>
      <protection locked="0"/>
    </xf>
    <xf numFmtId="0" fontId="0" fillId="15" borderId="18" xfId="0" applyFill="1" applyBorder="1" applyAlignment="1">
      <alignment/>
    </xf>
    <xf numFmtId="0" fontId="12" fillId="15" borderId="15" xfId="0" applyFont="1" applyFill="1" applyBorder="1" applyAlignment="1">
      <alignment/>
    </xf>
    <xf numFmtId="0" fontId="0" fillId="9" borderId="12" xfId="0" applyFill="1" applyBorder="1" applyAlignment="1" applyProtection="1">
      <alignment/>
      <protection/>
    </xf>
    <xf numFmtId="0" fontId="0" fillId="9" borderId="14" xfId="0" applyFill="1" applyBorder="1" applyAlignment="1" applyProtection="1">
      <alignment/>
      <protection/>
    </xf>
    <xf numFmtId="0" fontId="0" fillId="9" borderId="47" xfId="0" applyFill="1" applyBorder="1" applyAlignment="1" applyProtection="1">
      <alignment/>
      <protection/>
    </xf>
    <xf numFmtId="0" fontId="0" fillId="9" borderId="48" xfId="0" applyFill="1" applyBorder="1" applyAlignment="1" applyProtection="1">
      <alignment/>
      <protection/>
    </xf>
    <xf numFmtId="0" fontId="0" fillId="0" borderId="85" xfId="0" applyFill="1" applyBorder="1" applyAlignment="1" applyProtection="1">
      <alignment/>
      <protection/>
    </xf>
    <xf numFmtId="0" fontId="0" fillId="0" borderId="86" xfId="0" applyFill="1" applyBorder="1" applyAlignment="1" applyProtection="1">
      <alignment/>
      <protection/>
    </xf>
    <xf numFmtId="178" fontId="1" fillId="0" borderId="12"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2" fillId="0" borderId="10" xfId="0"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0" xfId="0" applyFont="1" applyFill="1" applyBorder="1" applyAlignment="1" applyProtection="1">
      <alignment/>
      <protection/>
    </xf>
    <xf numFmtId="0" fontId="1" fillId="0" borderId="51" xfId="0" applyFont="1" applyFill="1" applyBorder="1" applyAlignment="1">
      <alignment/>
    </xf>
    <xf numFmtId="0" fontId="1" fillId="0" borderId="26" xfId="0" applyFont="1" applyFill="1" applyBorder="1" applyAlignment="1">
      <alignment/>
    </xf>
    <xf numFmtId="0" fontId="1" fillId="0" borderId="51" xfId="0" applyFont="1" applyFill="1" applyBorder="1" applyAlignment="1" applyProtection="1">
      <alignment vertical="center"/>
      <protection/>
    </xf>
    <xf numFmtId="0" fontId="7" fillId="0" borderId="0" xfId="0" applyFont="1" applyFill="1" applyBorder="1" applyAlignment="1" applyProtection="1">
      <alignment/>
      <protection/>
    </xf>
    <xf numFmtId="11" fontId="1" fillId="0" borderId="0" xfId="0" applyNumberFormat="1" applyFont="1" applyFill="1" applyAlignment="1" applyProtection="1">
      <alignment horizontal="center"/>
      <protection/>
    </xf>
    <xf numFmtId="0" fontId="1" fillId="0" borderId="0" xfId="0" applyFont="1" applyFill="1" applyBorder="1" applyAlignment="1" applyProtection="1">
      <alignment vertical="center"/>
      <protection/>
    </xf>
    <xf numFmtId="2" fontId="1" fillId="0" borderId="0" xfId="0" applyNumberFormat="1" applyFont="1" applyFill="1" applyAlignment="1" applyProtection="1">
      <alignment horizontal="center"/>
      <protection/>
    </xf>
    <xf numFmtId="165" fontId="1" fillId="0" borderId="0" xfId="0" applyNumberFormat="1" applyFont="1" applyFill="1" applyAlignment="1" applyProtection="1">
      <alignment horizontal="center"/>
      <protection/>
    </xf>
    <xf numFmtId="194" fontId="1" fillId="0" borderId="0" xfId="0" applyNumberFormat="1" applyFont="1" applyFill="1" applyAlignment="1" applyProtection="1">
      <alignment horizontal="center"/>
      <protection/>
    </xf>
    <xf numFmtId="0" fontId="0" fillId="0" borderId="16" xfId="0" applyFont="1" applyFill="1" applyBorder="1" applyAlignment="1" applyProtection="1">
      <alignment/>
      <protection/>
    </xf>
    <xf numFmtId="0" fontId="0" fillId="0" borderId="15" xfId="0" applyFont="1" applyFill="1" applyBorder="1" applyAlignment="1" applyProtection="1">
      <alignment/>
      <protection/>
    </xf>
    <xf numFmtId="0" fontId="0" fillId="0" borderId="18"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Alignment="1" applyProtection="1">
      <alignment/>
      <protection/>
    </xf>
    <xf numFmtId="0" fontId="4" fillId="0" borderId="10" xfId="0" applyFont="1" applyFill="1" applyBorder="1" applyAlignment="1" applyProtection="1">
      <alignment/>
      <protection/>
    </xf>
    <xf numFmtId="0" fontId="0" fillId="0" borderId="10" xfId="0" applyFont="1" applyFill="1" applyBorder="1" applyAlignment="1" applyProtection="1">
      <alignment/>
      <protection/>
    </xf>
    <xf numFmtId="0" fontId="1" fillId="0" borderId="0" xfId="0" applyFont="1" applyFill="1" applyAlignment="1" applyProtection="1">
      <alignment horizontal="center"/>
      <protection/>
    </xf>
    <xf numFmtId="11" fontId="1" fillId="0" borderId="0" xfId="0" applyNumberFormat="1" applyFont="1" applyFill="1" applyBorder="1" applyAlignment="1" applyProtection="1">
      <alignment horizontal="center"/>
      <protection/>
    </xf>
    <xf numFmtId="194" fontId="1" fillId="0" borderId="0" xfId="0" applyNumberFormat="1"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7" fillId="0" borderId="0" xfId="0" applyFont="1" applyFill="1" applyAlignment="1" applyProtection="1">
      <alignment/>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16" fillId="9" borderId="0" xfId="0" applyNumberFormat="1"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0" xfId="0" applyFont="1" applyAlignment="1">
      <alignment/>
    </xf>
    <xf numFmtId="0" fontId="1" fillId="0" borderId="0" xfId="0" applyFont="1" applyBorder="1" applyAlignment="1">
      <alignment/>
    </xf>
    <xf numFmtId="0" fontId="0" fillId="0" borderId="0" xfId="0" applyFont="1" applyAlignment="1">
      <alignment/>
    </xf>
    <xf numFmtId="0" fontId="1" fillId="9" borderId="0" xfId="0" applyFont="1" applyFill="1" applyAlignment="1">
      <alignment horizontal="center"/>
    </xf>
    <xf numFmtId="0" fontId="9" fillId="0" borderId="0" xfId="0" applyFont="1" applyAlignment="1">
      <alignment/>
    </xf>
    <xf numFmtId="0" fontId="1" fillId="0" borderId="55" xfId="0" applyFont="1" applyBorder="1" applyAlignment="1">
      <alignment/>
    </xf>
    <xf numFmtId="0" fontId="1" fillId="0" borderId="55" xfId="0" applyFont="1" applyFill="1" applyBorder="1" applyAlignment="1">
      <alignment/>
    </xf>
    <xf numFmtId="0" fontId="1" fillId="0" borderId="0" xfId="0" applyFont="1" applyFill="1" applyAlignment="1">
      <alignment/>
    </xf>
    <xf numFmtId="0" fontId="1" fillId="0" borderId="0" xfId="0" applyFont="1" applyFill="1" applyBorder="1" applyAlignment="1" applyProtection="1">
      <alignment horizontal="right"/>
      <protection/>
    </xf>
    <xf numFmtId="0" fontId="1" fillId="9" borderId="13" xfId="0" applyNumberFormat="1" applyFont="1" applyFill="1" applyBorder="1" applyAlignment="1" applyProtection="1">
      <alignment horizontal="center"/>
      <protection locked="0"/>
    </xf>
    <xf numFmtId="0" fontId="0" fillId="9" borderId="0" xfId="0" applyFont="1" applyFill="1" applyBorder="1" applyAlignment="1" applyProtection="1">
      <alignment/>
      <protection/>
    </xf>
    <xf numFmtId="0" fontId="26" fillId="9" borderId="0" xfId="0" applyFont="1" applyFill="1" applyBorder="1" applyAlignment="1" applyProtection="1">
      <alignment/>
      <protection/>
    </xf>
    <xf numFmtId="0" fontId="25" fillId="9" borderId="0" xfId="0" applyFont="1" applyFill="1" applyBorder="1" applyAlignment="1" applyProtection="1">
      <alignment horizontal="center"/>
      <protection/>
    </xf>
    <xf numFmtId="0" fontId="1" fillId="9" borderId="26" xfId="0" applyNumberFormat="1" applyFont="1" applyFill="1" applyBorder="1" applyAlignment="1" applyProtection="1">
      <alignment horizontal="center"/>
      <protection locked="0"/>
    </xf>
    <xf numFmtId="0" fontId="1" fillId="9" borderId="51" xfId="0" applyFont="1" applyFill="1" applyBorder="1" applyAlignment="1" applyProtection="1">
      <alignment horizontal="center"/>
      <protection locked="0"/>
    </xf>
    <xf numFmtId="0" fontId="0" fillId="0" borderId="0" xfId="0" applyFont="1" applyFill="1" applyAlignment="1" applyProtection="1">
      <alignment/>
      <protection/>
    </xf>
    <xf numFmtId="0" fontId="1" fillId="0" borderId="87" xfId="0" applyNumberFormat="1" applyFont="1" applyFill="1" applyBorder="1" applyAlignment="1">
      <alignment horizontal="center"/>
    </xf>
    <xf numFmtId="0" fontId="1" fillId="0" borderId="88" xfId="0" applyNumberFormat="1" applyFont="1" applyFill="1" applyBorder="1" applyAlignment="1">
      <alignment/>
    </xf>
    <xf numFmtId="0" fontId="1" fillId="0" borderId="88" xfId="0" applyNumberFormat="1" applyFont="1" applyFill="1" applyBorder="1" applyAlignment="1">
      <alignment horizontal="center"/>
    </xf>
    <xf numFmtId="0" fontId="0" fillId="0" borderId="88" xfId="0" applyNumberFormat="1" applyFill="1" applyBorder="1" applyAlignment="1">
      <alignment/>
    </xf>
    <xf numFmtId="0" fontId="1" fillId="0" borderId="87" xfId="0" applyNumberFormat="1" applyFont="1" applyFill="1" applyBorder="1" applyAlignment="1" applyProtection="1">
      <alignment horizontal="center"/>
      <protection locked="0"/>
    </xf>
    <xf numFmtId="0" fontId="1" fillId="0" borderId="89" xfId="0" applyNumberFormat="1" applyFont="1" applyFill="1" applyBorder="1" applyAlignment="1">
      <alignment horizontal="center"/>
    </xf>
    <xf numFmtId="0" fontId="1" fillId="0" borderId="87" xfId="0" applyNumberFormat="1" applyFont="1" applyFill="1" applyBorder="1" applyAlignment="1">
      <alignment horizontal="center"/>
    </xf>
    <xf numFmtId="0" fontId="4" fillId="0" borderId="87" xfId="0" applyNumberFormat="1" applyFont="1" applyFill="1" applyBorder="1" applyAlignment="1" applyProtection="1">
      <alignment horizontal="center"/>
      <protection locked="0"/>
    </xf>
    <xf numFmtId="0" fontId="1" fillId="0" borderId="40" xfId="0" applyNumberFormat="1" applyFont="1" applyFill="1" applyBorder="1" applyAlignment="1">
      <alignment horizontal="center"/>
    </xf>
    <xf numFmtId="0" fontId="1" fillId="0" borderId="39" xfId="0" applyNumberFormat="1" applyFont="1" applyFill="1" applyBorder="1" applyAlignment="1">
      <alignment/>
    </xf>
    <xf numFmtId="0" fontId="0" fillId="0" borderId="39" xfId="0" applyNumberFormat="1" applyFill="1" applyBorder="1" applyAlignment="1">
      <alignment/>
    </xf>
    <xf numFmtId="0" fontId="1" fillId="0" borderId="40" xfId="0" applyNumberFormat="1" applyFont="1" applyFill="1" applyBorder="1" applyAlignment="1" applyProtection="1">
      <alignment horizontal="center"/>
      <protection locked="0"/>
    </xf>
    <xf numFmtId="0" fontId="1" fillId="0" borderId="24" xfId="0" applyNumberFormat="1" applyFont="1" applyFill="1" applyBorder="1" applyAlignment="1">
      <alignment horizontal="center"/>
    </xf>
    <xf numFmtId="0" fontId="1" fillId="0" borderId="40" xfId="0" applyNumberFormat="1" applyFont="1" applyFill="1" applyBorder="1" applyAlignment="1">
      <alignment horizontal="center"/>
    </xf>
    <xf numFmtId="0" fontId="4" fillId="0" borderId="40"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protection locked="0"/>
    </xf>
    <xf numFmtId="0" fontId="1" fillId="0" borderId="39" xfId="0" applyNumberFormat="1" applyFont="1" applyFill="1" applyBorder="1" applyAlignment="1" applyProtection="1">
      <alignment/>
      <protection locked="0"/>
    </xf>
    <xf numFmtId="0" fontId="1" fillId="0" borderId="24" xfId="0" applyNumberFormat="1" applyFont="1" applyFill="1" applyBorder="1" applyAlignment="1">
      <alignment horizontal="center"/>
    </xf>
    <xf numFmtId="0" fontId="1" fillId="0" borderId="40" xfId="0" applyNumberFormat="1" applyFont="1" applyFill="1" applyBorder="1" applyAlignment="1" applyProtection="1">
      <alignment horizontal="center"/>
      <protection locked="0"/>
    </xf>
    <xf numFmtId="0" fontId="1" fillId="0" borderId="59" xfId="0" applyNumberFormat="1" applyFont="1" applyFill="1" applyBorder="1" applyAlignment="1">
      <alignment horizontal="center"/>
    </xf>
    <xf numFmtId="0" fontId="1" fillId="0" borderId="90" xfId="0" applyNumberFormat="1" applyFont="1" applyFill="1" applyBorder="1" applyAlignment="1" applyProtection="1">
      <alignment/>
      <protection locked="0"/>
    </xf>
    <xf numFmtId="0" fontId="0" fillId="0" borderId="90" xfId="0" applyNumberFormat="1" applyFill="1" applyBorder="1" applyAlignment="1">
      <alignment/>
    </xf>
    <xf numFmtId="0" fontId="1" fillId="0" borderId="91" xfId="0" applyNumberFormat="1" applyFont="1" applyFill="1" applyBorder="1" applyAlignment="1">
      <alignment horizontal="center"/>
    </xf>
    <xf numFmtId="0" fontId="1" fillId="0" borderId="91" xfId="0" applyNumberFormat="1" applyFont="1" applyFill="1" applyBorder="1" applyAlignment="1">
      <alignment horizontal="center"/>
    </xf>
    <xf numFmtId="0" fontId="1" fillId="0" borderId="59" xfId="0" applyNumberFormat="1" applyFont="1" applyFill="1" applyBorder="1" applyAlignment="1">
      <alignment horizontal="center"/>
    </xf>
    <xf numFmtId="0" fontId="4" fillId="0" borderId="59" xfId="0" applyNumberFormat="1" applyFont="1" applyFill="1" applyBorder="1" applyAlignment="1" applyProtection="1">
      <alignment horizontal="center"/>
      <protection locked="0"/>
    </xf>
    <xf numFmtId="0" fontId="1" fillId="0" borderId="54" xfId="0" applyFont="1" applyFill="1" applyBorder="1" applyAlignment="1">
      <alignment horizontal="center"/>
    </xf>
    <xf numFmtId="0" fontId="1" fillId="15" borderId="10" xfId="0" applyFont="1" applyFill="1" applyBorder="1" applyAlignment="1" applyProtection="1">
      <alignment/>
      <protection locked="0"/>
    </xf>
    <xf numFmtId="0" fontId="4" fillId="15" borderId="46" xfId="0" applyFont="1" applyFill="1" applyBorder="1" applyAlignment="1" applyProtection="1">
      <alignment horizontal="center"/>
      <protection locked="0"/>
    </xf>
    <xf numFmtId="0" fontId="0" fillId="15" borderId="0" xfId="0" applyFill="1" applyAlignment="1">
      <alignment/>
    </xf>
    <xf numFmtId="0" fontId="12" fillId="0" borderId="10" xfId="0" applyFont="1" applyFill="1" applyBorder="1" applyAlignment="1" applyProtection="1">
      <alignment/>
      <protection locked="0"/>
    </xf>
    <xf numFmtId="2" fontId="4" fillId="0" borderId="46" xfId="0" applyNumberFormat="1" applyFont="1" applyFill="1" applyBorder="1" applyAlignment="1" applyProtection="1">
      <alignment horizontal="center"/>
      <protection locked="0"/>
    </xf>
    <xf numFmtId="0" fontId="1" fillId="9" borderId="13" xfId="0" applyNumberFormat="1" applyFont="1" applyFill="1" applyBorder="1" applyAlignment="1" applyProtection="1">
      <alignment horizontal="center"/>
      <protection locked="0"/>
    </xf>
    <xf numFmtId="0" fontId="1" fillId="9" borderId="50" xfId="0" applyNumberFormat="1" applyFont="1" applyFill="1" applyBorder="1" applyAlignment="1" applyProtection="1">
      <alignment horizontal="center"/>
      <protection locked="0"/>
    </xf>
    <xf numFmtId="0" fontId="1" fillId="9" borderId="92" xfId="0" applyNumberFormat="1" applyFont="1" applyFill="1" applyBorder="1" applyAlignment="1" applyProtection="1">
      <alignment horizontal="center"/>
      <protection locked="0"/>
    </xf>
    <xf numFmtId="0" fontId="1" fillId="18" borderId="93" xfId="0" applyNumberFormat="1" applyFont="1" applyFill="1" applyBorder="1" applyAlignment="1" applyProtection="1">
      <alignment horizontal="center"/>
      <protection/>
    </xf>
    <xf numFmtId="0" fontId="1" fillId="18" borderId="79" xfId="0" applyNumberFormat="1" applyFont="1" applyFill="1" applyBorder="1" applyAlignment="1" applyProtection="1">
      <alignment horizontal="center"/>
      <protection/>
    </xf>
    <xf numFmtId="0" fontId="4" fillId="9" borderId="0" xfId="0" applyFont="1" applyFill="1" applyBorder="1" applyAlignment="1" applyProtection="1">
      <alignment/>
      <protection/>
    </xf>
    <xf numFmtId="178" fontId="1" fillId="9" borderId="0" xfId="0" applyNumberFormat="1" applyFont="1" applyFill="1" applyBorder="1" applyAlignment="1" applyProtection="1">
      <alignment horizontal="center"/>
      <protection/>
    </xf>
    <xf numFmtId="2" fontId="1" fillId="9" borderId="0" xfId="0" applyNumberFormat="1" applyFont="1" applyFill="1" applyBorder="1" applyAlignment="1" applyProtection="1">
      <alignment horizontal="center"/>
      <protection/>
    </xf>
    <xf numFmtId="0" fontId="0" fillId="0" borderId="0" xfId="0" applyFont="1" applyBorder="1" applyAlignment="1" applyProtection="1">
      <alignment vertical="center"/>
      <protection/>
    </xf>
    <xf numFmtId="2" fontId="1" fillId="9" borderId="0" xfId="0" applyNumberFormat="1" applyFont="1" applyFill="1" applyBorder="1" applyAlignment="1" applyProtection="1">
      <alignment horizontal="center"/>
      <protection/>
    </xf>
    <xf numFmtId="185" fontId="1" fillId="0" borderId="48" xfId="0" applyNumberFormat="1" applyFont="1" applyFill="1" applyBorder="1" applyAlignment="1" applyProtection="1">
      <alignment horizontal="center"/>
      <protection/>
    </xf>
    <xf numFmtId="189" fontId="1" fillId="0" borderId="48" xfId="0" applyNumberFormat="1" applyFont="1" applyFill="1" applyBorder="1" applyAlignment="1" applyProtection="1">
      <alignment horizontal="center"/>
      <protection/>
    </xf>
    <xf numFmtId="197" fontId="1" fillId="0" borderId="0" xfId="0" applyNumberFormat="1" applyFont="1" applyAlignment="1" applyProtection="1">
      <alignment horizontal="left"/>
      <protection/>
    </xf>
    <xf numFmtId="0" fontId="0" fillId="9" borderId="10" xfId="0" applyFill="1" applyBorder="1" applyAlignment="1" applyProtection="1">
      <alignment/>
      <protection/>
    </xf>
    <xf numFmtId="0" fontId="1" fillId="9" borderId="11" xfId="0" applyFont="1" applyFill="1" applyBorder="1" applyAlignment="1" applyProtection="1">
      <alignment/>
      <protection/>
    </xf>
    <xf numFmtId="0" fontId="1" fillId="9" borderId="51" xfId="0" applyFont="1" applyFill="1" applyBorder="1" applyAlignment="1" applyProtection="1">
      <alignment horizontal="center"/>
      <protection/>
    </xf>
    <xf numFmtId="0" fontId="1" fillId="9" borderId="13" xfId="0" applyFont="1" applyFill="1" applyBorder="1" applyAlignment="1" applyProtection="1">
      <alignment/>
      <protection/>
    </xf>
    <xf numFmtId="0" fontId="1" fillId="9" borderId="10" xfId="0" applyFont="1" applyFill="1" applyBorder="1" applyAlignment="1" applyProtection="1">
      <alignment/>
      <protection/>
    </xf>
    <xf numFmtId="0" fontId="0" fillId="9" borderId="50" xfId="0" applyFill="1" applyBorder="1" applyAlignment="1" applyProtection="1">
      <alignment/>
      <protection/>
    </xf>
    <xf numFmtId="0" fontId="4" fillId="9" borderId="49" xfId="0" applyFont="1" applyFill="1" applyBorder="1" applyAlignment="1" applyProtection="1">
      <alignment horizontal="center"/>
      <protection/>
    </xf>
    <xf numFmtId="0" fontId="1" fillId="4" borderId="24" xfId="0" applyNumberFormat="1" applyFont="1" applyFill="1" applyBorder="1" applyAlignment="1" applyProtection="1">
      <alignment horizontal="center"/>
      <protection/>
    </xf>
    <xf numFmtId="0" fontId="1" fillId="4" borderId="36" xfId="0" applyNumberFormat="1" applyFont="1" applyFill="1" applyBorder="1" applyAlignment="1" applyProtection="1">
      <alignment horizontal="center"/>
      <protection/>
    </xf>
    <xf numFmtId="0" fontId="1" fillId="4" borderId="35" xfId="0" applyNumberFormat="1" applyFont="1" applyFill="1" applyBorder="1" applyAlignment="1" applyProtection="1">
      <alignment horizontal="center"/>
      <protection/>
    </xf>
    <xf numFmtId="0" fontId="1" fillId="4" borderId="37" xfId="0" applyNumberFormat="1" applyFont="1" applyFill="1" applyBorder="1" applyAlignment="1" applyProtection="1">
      <alignment horizontal="center"/>
      <protection/>
    </xf>
    <xf numFmtId="0" fontId="1" fillId="4" borderId="40" xfId="0" applyNumberFormat="1" applyFont="1" applyFill="1" applyBorder="1" applyAlignment="1" applyProtection="1">
      <alignment horizontal="center"/>
      <protection/>
    </xf>
    <xf numFmtId="0" fontId="1" fillId="4" borderId="39" xfId="0" applyNumberFormat="1" applyFont="1" applyFill="1" applyBorder="1" applyAlignment="1" applyProtection="1">
      <alignment horizontal="center"/>
      <protection/>
    </xf>
    <xf numFmtId="0" fontId="1" fillId="4" borderId="25" xfId="0" applyNumberFormat="1" applyFont="1" applyFill="1" applyBorder="1" applyAlignment="1" applyProtection="1">
      <alignment horizontal="center"/>
      <protection/>
    </xf>
    <xf numFmtId="0" fontId="1" fillId="4" borderId="69" xfId="0" applyNumberFormat="1" applyFont="1" applyFill="1" applyBorder="1" applyAlignment="1" applyProtection="1">
      <alignment horizontal="center"/>
      <protection/>
    </xf>
    <xf numFmtId="0" fontId="1" fillId="4" borderId="58" xfId="0" applyNumberFormat="1" applyFont="1" applyFill="1" applyBorder="1" applyAlignment="1" applyProtection="1">
      <alignment horizontal="center"/>
      <protection/>
    </xf>
    <xf numFmtId="0" fontId="1" fillId="4" borderId="57" xfId="0" applyNumberFormat="1" applyFont="1" applyFill="1" applyBorder="1" applyAlignment="1" applyProtection="1">
      <alignment horizontal="center"/>
      <protection/>
    </xf>
    <xf numFmtId="0" fontId="1" fillId="4" borderId="60" xfId="0" applyNumberFormat="1" applyFont="1" applyFill="1" applyBorder="1" applyAlignment="1" applyProtection="1">
      <alignment horizontal="center"/>
      <protection/>
    </xf>
    <xf numFmtId="0" fontId="1" fillId="4" borderId="43" xfId="0" applyNumberFormat="1" applyFont="1" applyFill="1" applyBorder="1" applyAlignment="1" applyProtection="1">
      <alignment horizontal="center"/>
      <protection/>
    </xf>
    <xf numFmtId="1" fontId="1" fillId="4" borderId="84" xfId="0" applyNumberFormat="1" applyFont="1" applyFill="1" applyBorder="1" applyAlignment="1" applyProtection="1">
      <alignment horizontal="center"/>
      <protection/>
    </xf>
    <xf numFmtId="1" fontId="1" fillId="4" borderId="36" xfId="0" applyNumberFormat="1" applyFont="1" applyFill="1" applyBorder="1" applyAlignment="1" applyProtection="1">
      <alignment horizontal="center"/>
      <protection/>
    </xf>
    <xf numFmtId="1" fontId="1" fillId="4" borderId="7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9" borderId="80" xfId="0" applyNumberFormat="1" applyFont="1" applyFill="1" applyBorder="1" applyAlignment="1" applyProtection="1">
      <alignment horizontal="center"/>
      <protection locked="0"/>
    </xf>
    <xf numFmtId="0" fontId="1" fillId="9" borderId="51" xfId="0" applyNumberFormat="1" applyFont="1" applyFill="1" applyBorder="1" applyAlignment="1" applyProtection="1">
      <alignment/>
      <protection locked="0"/>
    </xf>
    <xf numFmtId="0" fontId="1" fillId="9" borderId="49" xfId="0" applyNumberFormat="1" applyFont="1" applyFill="1" applyBorder="1" applyAlignment="1" applyProtection="1">
      <alignment/>
      <protection locked="0"/>
    </xf>
    <xf numFmtId="0" fontId="1" fillId="9" borderId="77" xfId="0" applyNumberFormat="1" applyFont="1" applyFill="1" applyBorder="1" applyAlignment="1" applyProtection="1">
      <alignment/>
      <protection locked="0"/>
    </xf>
    <xf numFmtId="0" fontId="1" fillId="0" borderId="41" xfId="0" applyNumberFormat="1" applyFont="1" applyFill="1" applyBorder="1" applyAlignment="1" applyProtection="1">
      <alignment horizontal="center"/>
      <protection locked="0"/>
    </xf>
    <xf numFmtId="0" fontId="0" fillId="9" borderId="0" xfId="0" applyFont="1" applyFill="1" applyBorder="1" applyAlignment="1" applyProtection="1">
      <alignment vertical="center"/>
      <protection/>
    </xf>
    <xf numFmtId="0" fontId="1" fillId="0" borderId="0" xfId="0" applyFont="1" applyFill="1" applyBorder="1" applyAlignment="1">
      <alignment/>
    </xf>
    <xf numFmtId="0" fontId="1" fillId="0" borderId="51" xfId="0" applyNumberFormat="1" applyFont="1" applyFill="1" applyBorder="1" applyAlignment="1" applyProtection="1">
      <alignment horizontal="center"/>
      <protection/>
    </xf>
    <xf numFmtId="0" fontId="0" fillId="0" borderId="0" xfId="0" applyFill="1" applyBorder="1" applyAlignment="1">
      <alignment/>
    </xf>
    <xf numFmtId="165" fontId="1" fillId="0" borderId="0" xfId="0" applyNumberFormat="1" applyFont="1" applyFill="1" applyBorder="1" applyAlignment="1" applyProtection="1">
      <alignment horizontal="center"/>
      <protection/>
    </xf>
    <xf numFmtId="165" fontId="1" fillId="0" borderId="10" xfId="0" applyNumberFormat="1" applyFont="1" applyFill="1" applyBorder="1" applyAlignment="1" applyProtection="1">
      <alignment horizontal="center"/>
      <protection/>
    </xf>
    <xf numFmtId="0" fontId="0" fillId="0" borderId="47" xfId="0" applyFill="1" applyBorder="1" applyAlignment="1">
      <alignment/>
    </xf>
    <xf numFmtId="0" fontId="1" fillId="0" borderId="12" xfId="0" applyFont="1" applyBorder="1" applyAlignment="1">
      <alignment horizontal="center"/>
    </xf>
    <xf numFmtId="0" fontId="1" fillId="0" borderId="14" xfId="0" applyFont="1" applyBorder="1" applyAlignment="1">
      <alignment horizontal="center"/>
    </xf>
    <xf numFmtId="0" fontId="1" fillId="0" borderId="51" xfId="0" applyNumberFormat="1" applyFont="1" applyBorder="1" applyAlignment="1">
      <alignment horizontal="center"/>
    </xf>
    <xf numFmtId="0" fontId="1" fillId="0" borderId="46" xfId="0" applyNumberFormat="1" applyFont="1" applyBorder="1" applyAlignment="1">
      <alignment horizontal="center"/>
    </xf>
    <xf numFmtId="0" fontId="1" fillId="0" borderId="46" xfId="0" applyFont="1" applyBorder="1" applyAlignment="1">
      <alignment horizontal="center"/>
    </xf>
    <xf numFmtId="0" fontId="4" fillId="0" borderId="49" xfId="0" applyFont="1" applyBorder="1" applyAlignment="1">
      <alignment horizontal="center"/>
    </xf>
    <xf numFmtId="0" fontId="4" fillId="0" borderId="48" xfId="0" applyFont="1" applyBorder="1" applyAlignment="1">
      <alignment horizontal="center"/>
    </xf>
    <xf numFmtId="0" fontId="1" fillId="0" borderId="26" xfId="0" applyFont="1" applyBorder="1" applyAlignment="1">
      <alignment horizontal="center"/>
    </xf>
    <xf numFmtId="165" fontId="1" fillId="0" borderId="51" xfId="0" applyNumberFormat="1" applyFont="1" applyFill="1" applyBorder="1" applyAlignment="1">
      <alignment horizontal="center"/>
    </xf>
    <xf numFmtId="165" fontId="1" fillId="0" borderId="51" xfId="0" applyNumberFormat="1" applyFont="1" applyFill="1" applyBorder="1" applyAlignment="1" applyProtection="1">
      <alignment horizontal="center"/>
      <protection/>
    </xf>
    <xf numFmtId="165" fontId="1" fillId="0" borderId="51" xfId="0" applyNumberFormat="1" applyFont="1" applyFill="1" applyBorder="1" applyAlignment="1" applyProtection="1">
      <alignment horizontal="center"/>
      <protection/>
    </xf>
    <xf numFmtId="165" fontId="1" fillId="0" borderId="46" xfId="0" applyNumberFormat="1" applyFont="1" applyFill="1" applyBorder="1" applyAlignment="1" applyProtection="1">
      <alignment horizontal="center"/>
      <protection/>
    </xf>
    <xf numFmtId="0" fontId="15" fillId="0" borderId="0" xfId="0" applyFont="1" applyBorder="1" applyAlignment="1">
      <alignment horizontal="center"/>
    </xf>
    <xf numFmtId="0" fontId="1" fillId="0" borderId="0" xfId="0" applyFont="1" applyFill="1" applyAlignment="1">
      <alignment horizontal="right"/>
    </xf>
    <xf numFmtId="0" fontId="4" fillId="9" borderId="50" xfId="0" applyFont="1" applyFill="1" applyBorder="1" applyAlignment="1" applyProtection="1">
      <alignment/>
      <protection/>
    </xf>
    <xf numFmtId="0" fontId="1" fillId="9" borderId="47" xfId="0" applyFont="1" applyFill="1" applyBorder="1" applyAlignment="1" applyProtection="1">
      <alignment/>
      <protection/>
    </xf>
    <xf numFmtId="0" fontId="1" fillId="9" borderId="48" xfId="0" applyFont="1" applyFill="1" applyBorder="1" applyAlignment="1" applyProtection="1">
      <alignment horizontal="center"/>
      <protection/>
    </xf>
    <xf numFmtId="0" fontId="1" fillId="9" borderId="50" xfId="0" applyFont="1" applyFill="1" applyBorder="1" applyAlignment="1" applyProtection="1">
      <alignment/>
      <protection/>
    </xf>
    <xf numFmtId="0" fontId="1" fillId="9" borderId="49" xfId="0" applyFont="1" applyFill="1" applyBorder="1" applyAlignment="1" applyProtection="1">
      <alignment horizontal="center"/>
      <protection/>
    </xf>
    <xf numFmtId="0" fontId="4" fillId="15" borderId="50" xfId="0" applyFont="1" applyFill="1" applyBorder="1" applyAlignment="1" applyProtection="1">
      <alignment horizontal="center"/>
      <protection locked="0"/>
    </xf>
    <xf numFmtId="0" fontId="0" fillId="15" borderId="47" xfId="0" applyFont="1" applyFill="1" applyBorder="1" applyAlignment="1" applyProtection="1">
      <alignment horizontal="center"/>
      <protection locked="0"/>
    </xf>
    <xf numFmtId="0" fontId="0" fillId="15" borderId="47" xfId="0" applyFill="1" applyBorder="1" applyAlignment="1" applyProtection="1">
      <alignment horizontal="center"/>
      <protection locked="0"/>
    </xf>
    <xf numFmtId="0" fontId="0" fillId="15" borderId="48" xfId="0" applyFill="1" applyBorder="1" applyAlignment="1">
      <alignment horizontal="center"/>
    </xf>
    <xf numFmtId="0" fontId="4" fillId="15" borderId="50" xfId="0" applyFont="1" applyFill="1" applyBorder="1" applyAlignment="1" applyProtection="1">
      <alignment horizontal="left"/>
      <protection locked="0"/>
    </xf>
    <xf numFmtId="0" fontId="1" fillId="9" borderId="11" xfId="0" applyFont="1" applyFill="1" applyBorder="1" applyAlignment="1" applyProtection="1">
      <alignment/>
      <protection/>
    </xf>
    <xf numFmtId="0" fontId="1" fillId="0" borderId="0" xfId="0" applyNumberFormat="1" applyFont="1" applyFill="1" applyAlignment="1" applyProtection="1">
      <alignment horizontal="center"/>
      <protection/>
    </xf>
    <xf numFmtId="2" fontId="4" fillId="15" borderId="50" xfId="0" applyNumberFormat="1" applyFont="1" applyFill="1" applyBorder="1" applyAlignment="1">
      <alignment horizontal="center"/>
    </xf>
    <xf numFmtId="0" fontId="12" fillId="0" borderId="0" xfId="0" applyFont="1" applyBorder="1" applyAlignment="1">
      <alignment horizontal="center"/>
    </xf>
    <xf numFmtId="0" fontId="0" fillId="0" borderId="11" xfId="0" applyFill="1" applyBorder="1" applyAlignment="1" applyProtection="1">
      <alignment horizontal="center"/>
      <protection locked="0"/>
    </xf>
    <xf numFmtId="0" fontId="0" fillId="0" borderId="0" xfId="0" applyFill="1" applyBorder="1" applyAlignment="1" applyProtection="1">
      <alignment horizontal="center"/>
      <protection locked="0"/>
    </xf>
    <xf numFmtId="202" fontId="1" fillId="0" borderId="18" xfId="0" applyNumberFormat="1" applyFont="1" applyFill="1" applyBorder="1" applyAlignment="1" applyProtection="1">
      <alignment horizontal="center"/>
      <protection locked="0"/>
    </xf>
    <xf numFmtId="202" fontId="1" fillId="0" borderId="12" xfId="0" applyNumberFormat="1" applyFont="1" applyFill="1" applyBorder="1" applyAlignment="1" applyProtection="1">
      <alignment horizontal="center"/>
      <protection locked="0"/>
    </xf>
    <xf numFmtId="202" fontId="1" fillId="0" borderId="14"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protection/>
    </xf>
    <xf numFmtId="0" fontId="1" fillId="0" borderId="55" xfId="0" applyFont="1" applyFill="1" applyBorder="1" applyAlignment="1" applyProtection="1">
      <alignment/>
      <protection locked="0"/>
    </xf>
    <xf numFmtId="0" fontId="0" fillId="0" borderId="94" xfId="0" applyFill="1" applyBorder="1" applyAlignment="1">
      <alignment/>
    </xf>
    <xf numFmtId="0" fontId="12" fillId="0" borderId="47" xfId="0" applyFont="1" applyFill="1" applyBorder="1" applyAlignment="1">
      <alignment/>
    </xf>
    <xf numFmtId="0" fontId="27" fillId="0" borderId="0" xfId="0" applyFont="1" applyFill="1" applyBorder="1" applyAlignment="1" applyProtection="1">
      <alignment/>
      <protection locked="0"/>
    </xf>
    <xf numFmtId="0" fontId="1" fillId="0" borderId="0" xfId="0" applyFont="1" applyFill="1" applyBorder="1" applyAlignment="1">
      <alignment/>
    </xf>
    <xf numFmtId="0" fontId="1" fillId="0" borderId="0" xfId="0" applyFont="1" applyFill="1" applyAlignment="1">
      <alignment/>
    </xf>
    <xf numFmtId="0" fontId="1" fillId="15" borderId="49" xfId="0" applyFont="1" applyFill="1" applyBorder="1" applyAlignment="1" applyProtection="1">
      <alignment horizontal="center"/>
      <protection locked="0"/>
    </xf>
    <xf numFmtId="0" fontId="0" fillId="0" borderId="95" xfId="0" applyFill="1" applyBorder="1" applyAlignment="1" applyProtection="1">
      <alignment/>
      <protection/>
    </xf>
    <xf numFmtId="0" fontId="0" fillId="0" borderId="96" xfId="0" applyFill="1" applyBorder="1" applyAlignment="1" applyProtection="1">
      <alignment/>
      <protection/>
    </xf>
    <xf numFmtId="0" fontId="0" fillId="0" borderId="95" xfId="0" applyFill="1" applyBorder="1" applyAlignment="1" applyProtection="1">
      <alignment/>
      <protection/>
    </xf>
    <xf numFmtId="0" fontId="0" fillId="0" borderId="96" xfId="0" applyFill="1" applyBorder="1" applyAlignment="1" applyProtection="1">
      <alignment/>
      <protection/>
    </xf>
    <xf numFmtId="0" fontId="0" fillId="0" borderId="95" xfId="0" applyFont="1" applyBorder="1" applyAlignment="1" applyProtection="1">
      <alignment vertical="center"/>
      <protection/>
    </xf>
    <xf numFmtId="0" fontId="9" fillId="0" borderId="95" xfId="0" applyFont="1" applyFill="1" applyBorder="1" applyAlignment="1" applyProtection="1">
      <alignment/>
      <protection/>
    </xf>
    <xf numFmtId="0" fontId="1" fillId="0" borderId="96" xfId="0" applyFont="1" applyFill="1" applyBorder="1" applyAlignment="1" applyProtection="1">
      <alignment/>
      <protection/>
    </xf>
    <xf numFmtId="0" fontId="1" fillId="0" borderId="95" xfId="0" applyFont="1" applyFill="1" applyBorder="1" applyAlignment="1" applyProtection="1">
      <alignment/>
      <protection/>
    </xf>
    <xf numFmtId="0" fontId="1" fillId="0" borderId="96" xfId="0" applyFont="1" applyFill="1" applyBorder="1" applyAlignment="1" applyProtection="1">
      <alignment horizontal="center"/>
      <protection/>
    </xf>
    <xf numFmtId="0" fontId="0" fillId="0" borderId="97" xfId="0" applyFill="1" applyBorder="1" applyAlignment="1" applyProtection="1">
      <alignment/>
      <protection/>
    </xf>
    <xf numFmtId="0" fontId="0" fillId="0" borderId="35" xfId="0" applyFill="1" applyBorder="1" applyAlignment="1" applyProtection="1">
      <alignment/>
      <protection/>
    </xf>
    <xf numFmtId="0" fontId="0" fillId="0" borderId="98" xfId="0" applyFill="1" applyBorder="1" applyAlignment="1" applyProtection="1">
      <alignment/>
      <protection/>
    </xf>
    <xf numFmtId="0" fontId="0" fillId="0" borderId="99" xfId="0" applyFill="1" applyBorder="1" applyAlignment="1" applyProtection="1">
      <alignment/>
      <protection/>
    </xf>
    <xf numFmtId="0" fontId="0" fillId="0" borderId="100" xfId="0" applyFill="1" applyBorder="1" applyAlignment="1" applyProtection="1">
      <alignment/>
      <protection/>
    </xf>
    <xf numFmtId="0" fontId="0" fillId="0" borderId="99" xfId="0" applyFill="1" applyBorder="1" applyAlignment="1" applyProtection="1">
      <alignment/>
      <protection/>
    </xf>
    <xf numFmtId="0" fontId="0" fillId="0" borderId="100" xfId="0" applyFill="1" applyBorder="1" applyAlignment="1" applyProtection="1">
      <alignment/>
      <protection/>
    </xf>
    <xf numFmtId="0" fontId="0" fillId="0" borderId="99" xfId="0" applyFont="1" applyBorder="1" applyAlignment="1" applyProtection="1">
      <alignment vertical="center"/>
      <protection/>
    </xf>
    <xf numFmtId="0" fontId="1" fillId="0" borderId="99" xfId="0" applyFont="1" applyFill="1" applyBorder="1" applyAlignment="1" applyProtection="1">
      <alignment/>
      <protection/>
    </xf>
    <xf numFmtId="0" fontId="1" fillId="0" borderId="100" xfId="0" applyFont="1" applyFill="1" applyBorder="1" applyAlignment="1" applyProtection="1">
      <alignment/>
      <protection/>
    </xf>
    <xf numFmtId="0" fontId="1" fillId="0" borderId="99" xfId="0" applyFont="1" applyFill="1" applyBorder="1" applyAlignment="1" applyProtection="1">
      <alignment/>
      <protection/>
    </xf>
    <xf numFmtId="0" fontId="1" fillId="0" borderId="100" xfId="0" applyFont="1" applyFill="1" applyBorder="1" applyAlignment="1" applyProtection="1">
      <alignment horizontal="center"/>
      <protection/>
    </xf>
    <xf numFmtId="0" fontId="0" fillId="0" borderId="101" xfId="0" applyFill="1" applyBorder="1" applyAlignment="1" applyProtection="1">
      <alignment/>
      <protection/>
    </xf>
    <xf numFmtId="0" fontId="0" fillId="0" borderId="35" xfId="0" applyFont="1" applyFill="1" applyBorder="1" applyAlignment="1" applyProtection="1">
      <alignment/>
      <protection/>
    </xf>
    <xf numFmtId="0" fontId="0" fillId="0" borderId="102" xfId="0" applyFill="1" applyBorder="1" applyAlignment="1" applyProtection="1">
      <alignment/>
      <protection/>
    </xf>
    <xf numFmtId="0" fontId="1" fillId="0" borderId="65" xfId="0" applyFont="1" applyBorder="1" applyAlignment="1">
      <alignment/>
    </xf>
    <xf numFmtId="187" fontId="1" fillId="9" borderId="48"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vertical="center" wrapText="1"/>
      <protection/>
    </xf>
    <xf numFmtId="0" fontId="1" fillId="0" borderId="13" xfId="0" applyNumberFormat="1" applyFont="1" applyFill="1" applyBorder="1" applyAlignment="1" applyProtection="1">
      <alignment horizontal="center"/>
      <protection/>
    </xf>
    <xf numFmtId="0" fontId="1" fillId="0" borderId="11"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vertical="center" wrapText="1"/>
      <protection/>
    </xf>
    <xf numFmtId="0" fontId="12" fillId="9" borderId="0" xfId="0" applyFont="1" applyFill="1" applyBorder="1" applyAlignment="1" applyProtection="1">
      <alignment horizontal="center" vertical="center"/>
      <protection/>
    </xf>
    <xf numFmtId="181" fontId="12" fillId="9" borderId="0" xfId="0" applyNumberFormat="1" applyFont="1" applyFill="1" applyBorder="1" applyAlignment="1" applyProtection="1">
      <alignment horizontal="center" vertical="center"/>
      <protection/>
    </xf>
    <xf numFmtId="179" fontId="12" fillId="9" borderId="0" xfId="0" applyNumberFormat="1" applyFont="1" applyFill="1" applyBorder="1" applyAlignment="1" applyProtection="1">
      <alignment horizontal="center" vertical="center"/>
      <protection/>
    </xf>
    <xf numFmtId="181" fontId="26" fillId="9" borderId="0" xfId="0" applyNumberFormat="1" applyFont="1" applyFill="1" applyBorder="1" applyAlignment="1" applyProtection="1">
      <alignment horizontal="center"/>
      <protection/>
    </xf>
    <xf numFmtId="196" fontId="26" fillId="0" borderId="35" xfId="0" applyNumberFormat="1" applyFont="1" applyBorder="1" applyAlignment="1">
      <alignment horizontal="left" vertical="center"/>
    </xf>
    <xf numFmtId="9" fontId="26" fillId="9" borderId="0" xfId="0" applyNumberFormat="1" applyFont="1" applyFill="1" applyBorder="1" applyAlignment="1" applyProtection="1">
      <alignment horizontal="center"/>
      <protection/>
    </xf>
    <xf numFmtId="0" fontId="26" fillId="9" borderId="0" xfId="0" applyFont="1" applyFill="1" applyBorder="1" applyAlignment="1" applyProtection="1">
      <alignment/>
      <protection/>
    </xf>
    <xf numFmtId="0" fontId="0" fillId="9" borderId="0" xfId="0" applyFont="1" applyFill="1" applyBorder="1" applyAlignment="1" applyProtection="1">
      <alignment vertical="center"/>
      <protection/>
    </xf>
    <xf numFmtId="0" fontId="0" fillId="9" borderId="0" xfId="0" applyFont="1" applyFill="1" applyBorder="1" applyAlignment="1" applyProtection="1">
      <alignment/>
      <protection/>
    </xf>
    <xf numFmtId="0" fontId="25" fillId="0" borderId="103" xfId="0" applyFont="1" applyFill="1" applyBorder="1" applyAlignment="1" applyProtection="1">
      <alignment horizontal="right" vertical="center"/>
      <protection/>
    </xf>
    <xf numFmtId="0" fontId="26" fillId="0" borderId="34" xfId="0" applyFont="1" applyBorder="1" applyAlignment="1">
      <alignment vertical="center"/>
    </xf>
    <xf numFmtId="0" fontId="25" fillId="0" borderId="104" xfId="0" applyNumberFormat="1" applyFont="1" applyFill="1" applyBorder="1" applyAlignment="1" applyProtection="1">
      <alignment horizontal="center" vertical="center"/>
      <protection/>
    </xf>
    <xf numFmtId="0" fontId="26" fillId="0" borderId="104" xfId="0" applyFont="1" applyBorder="1" applyAlignment="1">
      <alignment horizontal="center" vertical="center"/>
    </xf>
    <xf numFmtId="0" fontId="26" fillId="0" borderId="35" xfId="0" applyFont="1" applyBorder="1" applyAlignment="1">
      <alignment vertical="center"/>
    </xf>
    <xf numFmtId="196" fontId="25" fillId="0" borderId="104" xfId="0" applyNumberFormat="1" applyFont="1" applyFill="1" applyBorder="1" applyAlignment="1" applyProtection="1">
      <alignment horizontal="left" vertical="center"/>
      <protection/>
    </xf>
    <xf numFmtId="0" fontId="19" fillId="0" borderId="47" xfId="0" applyFont="1" applyFill="1" applyBorder="1" applyAlignment="1" applyProtection="1">
      <alignment horizontal="right"/>
      <protection/>
    </xf>
    <xf numFmtId="0" fontId="0" fillId="0" borderId="47" xfId="0" applyFill="1" applyBorder="1" applyAlignment="1">
      <alignment horizontal="right"/>
    </xf>
    <xf numFmtId="14" fontId="12" fillId="0" borderId="0"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24" fillId="0" borderId="0" xfId="0" applyFont="1" applyFill="1" applyBorder="1" applyAlignment="1" applyProtection="1">
      <alignment horizontal="center"/>
      <protection/>
    </xf>
    <xf numFmtId="0" fontId="8" fillId="0" borderId="0" xfId="0" applyFont="1" applyFill="1" applyAlignment="1" applyProtection="1">
      <alignment horizontal="center"/>
      <protection/>
    </xf>
    <xf numFmtId="0" fontId="24" fillId="0" borderId="0" xfId="0" applyFont="1" applyFill="1" applyAlignment="1" applyProtection="1">
      <alignment horizontal="center"/>
      <protection/>
    </xf>
    <xf numFmtId="0" fontId="8" fillId="0" borderId="0" xfId="0" applyFont="1"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0" fillId="0" borderId="0" xfId="0" applyBorder="1" applyAlignment="1">
      <alignment vertical="center"/>
    </xf>
    <xf numFmtId="0" fontId="24" fillId="0" borderId="0" xfId="0" applyFont="1" applyFill="1" applyBorder="1" applyAlignment="1" applyProtection="1">
      <alignment/>
      <protection/>
    </xf>
    <xf numFmtId="0" fontId="0" fillId="0" borderId="0" xfId="0" applyFill="1" applyAlignment="1">
      <alignment/>
    </xf>
    <xf numFmtId="0" fontId="12" fillId="0" borderId="0" xfId="0" applyNumberFormat="1" applyFont="1" applyFill="1" applyBorder="1" applyAlignment="1" applyProtection="1">
      <alignment horizontal="center" vertical="center"/>
      <protection/>
    </xf>
    <xf numFmtId="0" fontId="0" fillId="0" borderId="105" xfId="0" applyBorder="1" applyAlignment="1">
      <alignment vertical="center"/>
    </xf>
    <xf numFmtId="0" fontId="0" fillId="0" borderId="78" xfId="0" applyBorder="1" applyAlignment="1">
      <alignment vertical="center"/>
    </xf>
    <xf numFmtId="0" fontId="0" fillId="0" borderId="106" xfId="0" applyBorder="1" applyAlignment="1">
      <alignment vertical="center"/>
    </xf>
    <xf numFmtId="0" fontId="1" fillId="0" borderId="95"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96" xfId="0" applyFont="1" applyBorder="1" applyAlignment="1" applyProtection="1">
      <alignment horizontal="center" vertical="center"/>
      <protection/>
    </xf>
    <xf numFmtId="0" fontId="12" fillId="0" borderId="85" xfId="0" applyFont="1" applyFill="1" applyBorder="1" applyAlignment="1" applyProtection="1">
      <alignment horizontal="center" vertical="center"/>
      <protection/>
    </xf>
    <xf numFmtId="0" fontId="12" fillId="0" borderId="86" xfId="0" applyFont="1" applyBorder="1" applyAlignment="1" applyProtection="1">
      <alignment horizontal="center" vertical="center"/>
      <protection/>
    </xf>
    <xf numFmtId="0" fontId="12" fillId="0" borderId="85" xfId="0" applyFont="1" applyBorder="1" applyAlignment="1" applyProtection="1">
      <alignment horizontal="center" vertical="center"/>
      <protection/>
    </xf>
    <xf numFmtId="0" fontId="12" fillId="0" borderId="85" xfId="0" applyNumberFormat="1" applyFont="1" applyFill="1" applyBorder="1" applyAlignment="1" applyProtection="1">
      <alignment horizontal="center"/>
      <protection/>
    </xf>
    <xf numFmtId="0" fontId="12" fillId="0" borderId="86" xfId="0" applyFont="1" applyBorder="1" applyAlignment="1" applyProtection="1">
      <alignment horizontal="center"/>
      <protection/>
    </xf>
    <xf numFmtId="190" fontId="12" fillId="0" borderId="85" xfId="0" applyNumberFormat="1" applyFont="1" applyFill="1" applyBorder="1" applyAlignment="1" applyProtection="1">
      <alignment horizontal="center"/>
      <protection/>
    </xf>
    <xf numFmtId="0" fontId="1" fillId="0" borderId="85" xfId="0" applyFont="1" applyFill="1" applyBorder="1" applyAlignment="1" applyProtection="1">
      <alignment horizontal="center"/>
      <protection/>
    </xf>
    <xf numFmtId="0" fontId="0" fillId="0" borderId="0" xfId="0" applyAlignment="1" applyProtection="1">
      <alignment/>
      <protection/>
    </xf>
    <xf numFmtId="0" fontId="0" fillId="0" borderId="86" xfId="0" applyBorder="1" applyAlignment="1" applyProtection="1">
      <alignment/>
      <protection/>
    </xf>
    <xf numFmtId="0" fontId="1" fillId="0" borderId="14" xfId="0" applyNumberFormat="1" applyFont="1" applyFill="1" applyBorder="1" applyAlignment="1" applyProtection="1">
      <alignment horizontal="center"/>
      <protection/>
    </xf>
    <xf numFmtId="0" fontId="11" fillId="0" borderId="11"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4" fillId="0" borderId="107" xfId="0" applyFont="1" applyFill="1" applyBorder="1" applyAlignment="1" applyProtection="1">
      <alignment horizontal="center"/>
      <protection/>
    </xf>
    <xf numFmtId="0" fontId="4" fillId="0" borderId="104" xfId="0" applyFont="1" applyBorder="1" applyAlignment="1" applyProtection="1">
      <alignment horizontal="center"/>
      <protection/>
    </xf>
    <xf numFmtId="0" fontId="4" fillId="0" borderId="108" xfId="0" applyFont="1" applyBorder="1" applyAlignment="1" applyProtection="1">
      <alignment horizontal="center"/>
      <protection/>
    </xf>
    <xf numFmtId="0" fontId="4" fillId="0" borderId="95"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96" xfId="0" applyFont="1" applyBorder="1" applyAlignment="1" applyProtection="1">
      <alignment horizontal="center"/>
      <protection/>
    </xf>
    <xf numFmtId="14" fontId="19" fillId="0" borderId="47" xfId="0" applyNumberFormat="1" applyFont="1" applyFill="1" applyBorder="1" applyAlignment="1" applyProtection="1">
      <alignment horizontal="right"/>
      <protection/>
    </xf>
    <xf numFmtId="0" fontId="0" fillId="0" borderId="47" xfId="0" applyFill="1" applyBorder="1" applyAlignment="1" applyProtection="1">
      <alignment horizontal="right"/>
      <protection/>
    </xf>
    <xf numFmtId="0" fontId="0" fillId="0" borderId="1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vertical="center" wrapText="1"/>
      <protection/>
    </xf>
    <xf numFmtId="0" fontId="0" fillId="9" borderId="0" xfId="0" applyFill="1" applyBorder="1" applyAlignment="1" applyProtection="1">
      <alignment/>
      <protection/>
    </xf>
    <xf numFmtId="0" fontId="4" fillId="0" borderId="109" xfId="0" applyFont="1" applyFill="1" applyBorder="1" applyAlignment="1" applyProtection="1">
      <alignment horizontal="center"/>
      <protection/>
    </xf>
    <xf numFmtId="0" fontId="4" fillId="0" borderId="110" xfId="0" applyFont="1" applyBorder="1" applyAlignment="1" applyProtection="1">
      <alignment horizontal="center"/>
      <protection/>
    </xf>
    <xf numFmtId="0" fontId="4" fillId="0" borderId="99" xfId="0" applyFont="1" applyBorder="1" applyAlignment="1" applyProtection="1">
      <alignment horizontal="center"/>
      <protection/>
    </xf>
    <xf numFmtId="0" fontId="4" fillId="0" borderId="100" xfId="0" applyFont="1" applyBorder="1" applyAlignment="1" applyProtection="1">
      <alignment horizontal="center"/>
      <protection/>
    </xf>
    <xf numFmtId="0" fontId="1" fillId="0" borderId="99" xfId="0" applyFont="1" applyFill="1" applyBorder="1" applyAlignment="1" applyProtection="1">
      <alignment horizontal="center" vertical="center"/>
      <protection/>
    </xf>
    <xf numFmtId="0" fontId="1" fillId="0" borderId="100" xfId="0" applyFont="1" applyBorder="1" applyAlignment="1" applyProtection="1">
      <alignment horizontal="center" vertical="center"/>
      <protection/>
    </xf>
    <xf numFmtId="0" fontId="1" fillId="9" borderId="11" xfId="0" applyNumberFormat="1" applyFont="1" applyFill="1" applyBorder="1" applyAlignment="1" applyProtection="1">
      <alignment vertical="center" wrapText="1"/>
      <protection locked="0"/>
    </xf>
    <xf numFmtId="0" fontId="1" fillId="9" borderId="0" xfId="0" applyNumberFormat="1" applyFont="1" applyFill="1" applyBorder="1" applyAlignment="1" applyProtection="1">
      <alignment vertical="center" wrapText="1"/>
      <protection locked="0"/>
    </xf>
    <xf numFmtId="0" fontId="1" fillId="9" borderId="12" xfId="0" applyNumberFormat="1" applyFont="1" applyFill="1" applyBorder="1" applyAlignment="1" applyProtection="1">
      <alignment vertical="center" wrapText="1"/>
      <protection locked="0"/>
    </xf>
    <xf numFmtId="0" fontId="1" fillId="9" borderId="13" xfId="0" applyNumberFormat="1" applyFont="1" applyFill="1" applyBorder="1" applyAlignment="1" applyProtection="1">
      <alignment vertical="center" wrapText="1"/>
      <protection locked="0"/>
    </xf>
    <xf numFmtId="0" fontId="1" fillId="9" borderId="10" xfId="0" applyNumberFormat="1" applyFont="1" applyFill="1" applyBorder="1" applyAlignment="1" applyProtection="1">
      <alignment vertical="center" wrapText="1"/>
      <protection locked="0"/>
    </xf>
    <xf numFmtId="0" fontId="1" fillId="9" borderId="14" xfId="0" applyNumberFormat="1" applyFont="1" applyFill="1" applyBorder="1" applyAlignment="1" applyProtection="1">
      <alignment vertical="center" wrapText="1"/>
      <protection locked="0"/>
    </xf>
    <xf numFmtId="0" fontId="12" fillId="0" borderId="0" xfId="0" applyFont="1" applyBorder="1" applyAlignment="1" applyProtection="1">
      <alignment horizontal="center"/>
      <protection/>
    </xf>
    <xf numFmtId="0" fontId="0" fillId="0" borderId="0" xfId="0" applyBorder="1" applyAlignment="1" applyProtection="1">
      <alignment/>
      <protection/>
    </xf>
    <xf numFmtId="0" fontId="1" fillId="9" borderId="13" xfId="0" applyNumberFormat="1" applyFont="1" applyFill="1" applyBorder="1" applyAlignment="1" applyProtection="1">
      <alignment horizontal="center"/>
      <protection locked="0"/>
    </xf>
    <xf numFmtId="0" fontId="1" fillId="9" borderId="14" xfId="0" applyNumberFormat="1" applyFont="1" applyFill="1" applyBorder="1" applyAlignment="1" applyProtection="1">
      <alignment horizontal="center"/>
      <protection locked="0"/>
    </xf>
    <xf numFmtId="0" fontId="1" fillId="0" borderId="11" xfId="0" applyFont="1" applyFill="1" applyBorder="1" applyAlignment="1" applyProtection="1">
      <alignment horizontal="right"/>
      <protection/>
    </xf>
    <xf numFmtId="0" fontId="0" fillId="0" borderId="0" xfId="0" applyAlignment="1" applyProtection="1">
      <alignment horizontal="right"/>
      <protection/>
    </xf>
    <xf numFmtId="0" fontId="1" fillId="0" borderId="11"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1" fillId="0" borderId="0" xfId="0" applyFont="1" applyFill="1" applyBorder="1" applyAlignment="1" applyProtection="1">
      <alignment horizontal="center"/>
      <protection/>
    </xf>
    <xf numFmtId="0" fontId="0" fillId="0" borderId="0" xfId="0" applyBorder="1" applyAlignment="1" applyProtection="1">
      <alignment horizontal="center"/>
      <protection/>
    </xf>
    <xf numFmtId="180" fontId="12" fillId="0" borderId="85" xfId="0" applyNumberFormat="1" applyFont="1" applyFill="1" applyBorder="1" applyAlignment="1" applyProtection="1">
      <alignment horizontal="center"/>
      <protection/>
    </xf>
    <xf numFmtId="0" fontId="1" fillId="0" borderId="85" xfId="0" applyFont="1" applyFill="1" applyBorder="1" applyAlignment="1" applyProtection="1">
      <alignment horizontal="center"/>
      <protection/>
    </xf>
    <xf numFmtId="0" fontId="0" fillId="0" borderId="0" xfId="0" applyAlignment="1" applyProtection="1">
      <alignment horizontal="center"/>
      <protection/>
    </xf>
    <xf numFmtId="0" fontId="0" fillId="0" borderId="86" xfId="0" applyBorder="1" applyAlignment="1" applyProtection="1">
      <alignment horizontal="center"/>
      <protection/>
    </xf>
    <xf numFmtId="9" fontId="1" fillId="0" borderId="85" xfId="0" applyNumberFormat="1" applyFont="1" applyFill="1" applyBorder="1" applyAlignment="1" applyProtection="1">
      <alignment horizontal="center"/>
      <protection/>
    </xf>
    <xf numFmtId="9" fontId="1" fillId="0" borderId="86" xfId="0" applyNumberFormat="1" applyFont="1" applyFill="1" applyBorder="1" applyAlignment="1" applyProtection="1">
      <alignment horizontal="center"/>
      <protection/>
    </xf>
    <xf numFmtId="0" fontId="0" fillId="0" borderId="0" xfId="0" applyAlignment="1" applyProtection="1">
      <alignment/>
      <protection/>
    </xf>
    <xf numFmtId="0" fontId="0" fillId="0" borderId="86" xfId="0" applyBorder="1" applyAlignment="1" applyProtection="1">
      <alignment/>
      <protection/>
    </xf>
    <xf numFmtId="179" fontId="12" fillId="0" borderId="85"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0" fillId="0" borderId="0" xfId="0" applyFill="1" applyAlignment="1" applyProtection="1">
      <alignment/>
      <protection/>
    </xf>
    <xf numFmtId="0" fontId="0" fillId="9" borderId="47" xfId="0" applyFill="1" applyBorder="1" applyAlignment="1" applyProtection="1">
      <alignment horizontal="right"/>
      <protection/>
    </xf>
    <xf numFmtId="0" fontId="1" fillId="0" borderId="24" xfId="0" applyNumberFormat="1" applyFont="1" applyFill="1" applyBorder="1" applyAlignment="1">
      <alignment horizontal="center"/>
    </xf>
    <xf numFmtId="0" fontId="0" fillId="0" borderId="39" xfId="0" applyNumberFormat="1" applyBorder="1" applyAlignment="1">
      <alignment/>
    </xf>
    <xf numFmtId="0" fontId="0" fillId="0" borderId="111" xfId="0" applyNumberFormat="1" applyBorder="1" applyAlignment="1">
      <alignment/>
    </xf>
    <xf numFmtId="0" fontId="1" fillId="0" borderId="91" xfId="0" applyNumberFormat="1" applyFont="1" applyFill="1" applyBorder="1" applyAlignment="1">
      <alignment horizontal="center"/>
    </xf>
    <xf numFmtId="0" fontId="0" fillId="0" borderId="90" xfId="0" applyNumberFormat="1" applyBorder="1" applyAlignment="1">
      <alignment/>
    </xf>
    <xf numFmtId="0" fontId="0" fillId="0" borderId="112" xfId="0" applyNumberFormat="1" applyBorder="1" applyAlignment="1">
      <alignment/>
    </xf>
    <xf numFmtId="0" fontId="4" fillId="15" borderId="15" xfId="0" applyFont="1" applyFill="1" applyBorder="1" applyAlignment="1" applyProtection="1">
      <alignment vertical="center"/>
      <protection locked="0"/>
    </xf>
    <xf numFmtId="0" fontId="0" fillId="0" borderId="16"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1" fillId="0" borderId="24" xfId="0" applyNumberFormat="1" applyFont="1" applyFill="1" applyBorder="1" applyAlignment="1" applyProtection="1">
      <alignment horizontal="center"/>
      <protection locked="0"/>
    </xf>
    <xf numFmtId="0" fontId="4" fillId="15" borderId="50" xfId="0" applyNumberFormat="1" applyFont="1" applyFill="1" applyBorder="1" applyAlignment="1" applyProtection="1">
      <alignment horizontal="center"/>
      <protection locked="0"/>
    </xf>
    <xf numFmtId="0" fontId="4" fillId="15" borderId="47" xfId="0" applyNumberFormat="1" applyFont="1" applyFill="1" applyBorder="1" applyAlignment="1" applyProtection="1">
      <alignment horizontal="center"/>
      <protection locked="0"/>
    </xf>
    <xf numFmtId="0" fontId="12" fillId="15" borderId="47" xfId="0" applyNumberFormat="1" applyFont="1" applyFill="1" applyBorder="1" applyAlignment="1">
      <alignment horizontal="center"/>
    </xf>
    <xf numFmtId="0" fontId="12" fillId="15" borderId="48" xfId="0" applyNumberFormat="1" applyFont="1" applyFill="1" applyBorder="1" applyAlignment="1">
      <alignment horizontal="center"/>
    </xf>
    <xf numFmtId="0" fontId="1" fillId="15" borderId="50" xfId="0" applyNumberFormat="1" applyFont="1" applyFill="1" applyBorder="1" applyAlignment="1">
      <alignment horizontal="center"/>
    </xf>
    <xf numFmtId="0" fontId="0" fillId="0" borderId="47" xfId="0" applyNumberFormat="1" applyBorder="1" applyAlignment="1">
      <alignment/>
    </xf>
    <xf numFmtId="0" fontId="0" fillId="0" borderId="48" xfId="0" applyNumberFormat="1" applyBorder="1" applyAlignment="1">
      <alignment/>
    </xf>
    <xf numFmtId="0" fontId="4" fillId="0" borderId="50" xfId="0" applyNumberFormat="1" applyFont="1" applyFill="1" applyBorder="1" applyAlignment="1">
      <alignment horizontal="center"/>
    </xf>
    <xf numFmtId="0" fontId="4" fillId="15" borderId="50" xfId="0" applyFont="1" applyFill="1" applyBorder="1" applyAlignment="1" applyProtection="1">
      <alignment/>
      <protection locked="0"/>
    </xf>
    <xf numFmtId="0" fontId="0" fillId="0" borderId="16" xfId="0" applyBorder="1" applyAlignment="1">
      <alignment/>
    </xf>
    <xf numFmtId="0" fontId="0" fillId="0" borderId="18" xfId="0" applyBorder="1" applyAlignment="1">
      <alignment/>
    </xf>
    <xf numFmtId="0" fontId="4" fillId="15" borderId="15" xfId="0" applyNumberFormat="1" applyFont="1" applyFill="1" applyBorder="1" applyAlignment="1" applyProtection="1">
      <alignment horizontal="left" vertical="center"/>
      <protection locked="0"/>
    </xf>
    <xf numFmtId="0" fontId="0" fillId="0" borderId="16" xfId="0" applyNumberFormat="1" applyBorder="1" applyAlignment="1">
      <alignment horizontal="left" vertical="center"/>
    </xf>
    <xf numFmtId="0" fontId="0" fillId="0" borderId="16" xfId="0" applyNumberFormat="1" applyBorder="1" applyAlignment="1">
      <alignment/>
    </xf>
    <xf numFmtId="0" fontId="0" fillId="0" borderId="18" xfId="0" applyNumberFormat="1" applyBorder="1" applyAlignment="1">
      <alignment/>
    </xf>
    <xf numFmtId="0" fontId="0" fillId="0" borderId="13" xfId="0" applyNumberFormat="1" applyBorder="1" applyAlignment="1">
      <alignment horizontal="left" vertical="center"/>
    </xf>
    <xf numFmtId="0" fontId="0" fillId="0" borderId="10" xfId="0" applyNumberFormat="1" applyBorder="1" applyAlignment="1">
      <alignment horizontal="left" vertical="center"/>
    </xf>
    <xf numFmtId="0" fontId="0" fillId="0" borderId="10" xfId="0" applyNumberFormat="1" applyBorder="1" applyAlignment="1">
      <alignment/>
    </xf>
    <xf numFmtId="0" fontId="0" fillId="0" borderId="14" xfId="0" applyNumberFormat="1" applyBorder="1" applyAlignment="1">
      <alignment/>
    </xf>
    <xf numFmtId="0" fontId="4" fillId="15" borderId="15" xfId="0" applyNumberFormat="1" applyFont="1" applyFill="1" applyBorder="1" applyAlignment="1">
      <alignment horizontal="left" vertical="center"/>
    </xf>
    <xf numFmtId="0" fontId="1" fillId="0" borderId="89" xfId="0" applyNumberFormat="1" applyFont="1" applyFill="1" applyBorder="1" applyAlignment="1" applyProtection="1">
      <alignment horizontal="center"/>
      <protection locked="0"/>
    </xf>
    <xf numFmtId="0" fontId="0" fillId="0" borderId="88" xfId="0" applyNumberFormat="1" applyBorder="1" applyAlignment="1">
      <alignment/>
    </xf>
    <xf numFmtId="0" fontId="0" fillId="0" borderId="113" xfId="0" applyNumberFormat="1" applyBorder="1" applyAlignment="1">
      <alignment/>
    </xf>
    <xf numFmtId="0" fontId="4" fillId="0" borderId="11" xfId="0" applyFont="1" applyFill="1" applyBorder="1" applyAlignment="1" applyProtection="1">
      <alignment/>
      <protection/>
    </xf>
    <xf numFmtId="0" fontId="0" fillId="0" borderId="0" xfId="0" applyFill="1" applyBorder="1" applyAlignment="1">
      <alignment/>
    </xf>
    <xf numFmtId="0" fontId="4" fillId="15" borderId="50" xfId="0" applyFont="1" applyFill="1" applyBorder="1" applyAlignment="1" applyProtection="1">
      <alignment/>
      <protection locked="0"/>
    </xf>
    <xf numFmtId="0" fontId="0" fillId="15" borderId="47" xfId="0" applyFill="1" applyBorder="1" applyAlignment="1">
      <alignment/>
    </xf>
    <xf numFmtId="0" fontId="0" fillId="15" borderId="48" xfId="0" applyFill="1" applyBorder="1" applyAlignment="1">
      <alignment/>
    </xf>
    <xf numFmtId="0" fontId="0" fillId="15" borderId="16" xfId="0" applyFill="1" applyBorder="1" applyAlignment="1">
      <alignment/>
    </xf>
    <xf numFmtId="0" fontId="0" fillId="15" borderId="18" xfId="0" applyFill="1" applyBorder="1" applyAlignment="1">
      <alignment/>
    </xf>
    <xf numFmtId="0" fontId="4" fillId="15" borderId="50" xfId="0" applyNumberFormat="1" applyFont="1" applyFill="1" applyBorder="1" applyAlignment="1" applyProtection="1">
      <alignment/>
      <protection/>
    </xf>
    <xf numFmtId="0" fontId="0" fillId="0" borderId="47" xfId="0" applyBorder="1" applyAlignment="1">
      <alignment/>
    </xf>
    <xf numFmtId="0" fontId="0" fillId="0" borderId="48" xfId="0" applyBorder="1" applyAlignment="1">
      <alignment/>
    </xf>
    <xf numFmtId="0" fontId="4" fillId="0" borderId="50" xfId="0" applyFont="1" applyFill="1" applyBorder="1" applyAlignment="1" applyProtection="1">
      <alignment/>
      <protection locked="0"/>
    </xf>
    <xf numFmtId="0" fontId="4" fillId="0" borderId="50" xfId="0" applyFont="1" applyBorder="1" applyAlignment="1">
      <alignment horizontal="center"/>
    </xf>
    <xf numFmtId="0" fontId="12" fillId="0" borderId="48"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0" fillId="0" borderId="14" xfId="0" applyBorder="1" applyAlignment="1">
      <alignment/>
    </xf>
    <xf numFmtId="0" fontId="1" fillId="0" borderId="26" xfId="0" applyFont="1" applyFill="1" applyBorder="1" applyAlignment="1" applyProtection="1">
      <alignment horizontal="center" vertical="center"/>
      <protection locked="0"/>
    </xf>
    <xf numFmtId="0" fontId="0" fillId="0" borderId="46" xfId="0" applyFill="1" applyBorder="1" applyAlignment="1">
      <alignment vertical="center"/>
    </xf>
    <xf numFmtId="2" fontId="4" fillId="15" borderId="50" xfId="0" applyNumberFormat="1" applyFont="1" applyFill="1" applyBorder="1" applyAlignment="1" applyProtection="1">
      <alignment horizontal="center"/>
      <protection locked="0"/>
    </xf>
    <xf numFmtId="0" fontId="0" fillId="0" borderId="48" xfId="0" applyBorder="1" applyAlignment="1">
      <alignment horizontal="center"/>
    </xf>
    <xf numFmtId="2" fontId="1" fillId="0" borderId="13" xfId="0" applyNumberFormat="1" applyFont="1" applyFill="1" applyBorder="1" applyAlignment="1" applyProtection="1">
      <alignment horizontal="center"/>
      <protection locked="0"/>
    </xf>
    <xf numFmtId="0" fontId="0" fillId="0" borderId="14" xfId="0" applyFill="1" applyBorder="1" applyAlignment="1">
      <alignment horizontal="center"/>
    </xf>
    <xf numFmtId="0" fontId="15" fillId="0" borderId="15" xfId="0" applyFont="1" applyFill="1" applyBorder="1" applyAlignment="1" applyProtection="1">
      <alignment horizontal="center"/>
      <protection locked="0"/>
    </xf>
    <xf numFmtId="0" fontId="0" fillId="0" borderId="18" xfId="0" applyFill="1" applyBorder="1" applyAlignment="1">
      <alignment horizontal="center"/>
    </xf>
    <xf numFmtId="0" fontId="1" fillId="0" borderId="15" xfId="0" applyFont="1" applyFill="1" applyBorder="1" applyAlignment="1" applyProtection="1">
      <alignment vertical="center"/>
      <protection locked="0"/>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2" fontId="1" fillId="0" borderId="26" xfId="0" applyNumberFormat="1" applyFont="1" applyFill="1" applyBorder="1" applyAlignment="1">
      <alignment horizontal="center" vertical="center"/>
    </xf>
    <xf numFmtId="0" fontId="4" fillId="0" borderId="50" xfId="0" applyFont="1" applyFill="1" applyBorder="1" applyAlignment="1" applyProtection="1">
      <alignment horizontal="center"/>
      <protection locked="0"/>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Percent" xfId="53"/>
    <cellStyle name="Comma [0]" xfId="54"/>
    <cellStyle name="Currency [0]" xfId="55"/>
    <cellStyle name="Selittävä teksti" xfId="56"/>
    <cellStyle name="Summa" xfId="57"/>
    <cellStyle name="Syöttö" xfId="58"/>
    <cellStyle name="Tarkistussolu" xfId="59"/>
    <cellStyle name="Tulostus" xfId="60"/>
    <cellStyle name="Currency" xfId="61"/>
    <cellStyle name="Varoitusteksti" xfId="62"/>
  </cellStyles>
  <dxfs count="19">
    <dxf>
      <fill>
        <patternFill>
          <bgColor indexed="11"/>
        </patternFill>
      </fill>
    </dxf>
    <dxf>
      <fill>
        <patternFill>
          <bgColor indexed="10"/>
        </patternFill>
      </fill>
    </dxf>
    <dxf>
      <fill>
        <patternFill>
          <bgColor indexed="11"/>
        </patternFill>
      </fill>
    </dxf>
    <dxf>
      <fill>
        <patternFill>
          <bgColor indexed="10"/>
        </patternFill>
      </fill>
    </dxf>
    <dxf>
      <font>
        <color indexed="9"/>
      </font>
      <fill>
        <patternFill>
          <bgColor indexed="9"/>
        </patternFill>
      </fill>
      <border>
        <left/>
        <right/>
        <top/>
        <bottom/>
      </border>
    </dxf>
    <dxf>
      <fill>
        <patternFill>
          <bgColor indexed="11"/>
        </patternFill>
      </fill>
    </dxf>
    <dxf>
      <fill>
        <patternFill>
          <bgColor indexed="10"/>
        </patternFill>
      </fill>
    </dxf>
    <dxf>
      <font>
        <color indexed="10"/>
      </font>
    </dxf>
    <dxf>
      <font>
        <color indexed="10"/>
      </font>
    </dxf>
    <dxf>
      <font>
        <color indexed="10"/>
      </font>
    </dxf>
    <dxf>
      <font>
        <color indexed="10"/>
      </font>
    </dxf>
    <dxf>
      <font>
        <color indexed="10"/>
      </font>
    </dxf>
    <dxf>
      <font>
        <color auto="1"/>
      </font>
      <fill>
        <patternFill>
          <bgColor indexed="11"/>
        </patternFill>
      </fill>
    </dxf>
    <dxf>
      <font>
        <color indexed="10"/>
      </font>
    </dxf>
    <dxf>
      <font>
        <color indexed="10"/>
      </font>
    </dxf>
    <dxf>
      <font>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255"/>
          <c:w val="0.9195"/>
          <c:h val="0.949"/>
        </c:manualLayout>
      </c:layout>
      <c:scatterChart>
        <c:scatterStyle val="line"/>
        <c:varyColors val="0"/>
        <c:ser>
          <c:idx val="0"/>
          <c:order val="0"/>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2"/>
            <c:spPr>
              <a:ln w="3175">
                <a:noFill/>
              </a:ln>
            </c:spPr>
            <c:marker>
              <c:symbol val="none"/>
            </c:marker>
          </c:dPt>
          <c:dPt>
            <c:idx val="24"/>
            <c:spPr>
              <a:ln w="3175">
                <a:noFill/>
              </a:ln>
            </c:spPr>
            <c:marker>
              <c:symbol val="none"/>
            </c:marker>
          </c:dPt>
          <c:dPt>
            <c:idx val="28"/>
            <c:spPr>
              <a:ln w="3175">
                <a:noFill/>
              </a:ln>
            </c:spPr>
            <c:marker>
              <c:symbol val="none"/>
            </c:marker>
          </c:dPt>
          <c:dPt>
            <c:idx val="50"/>
            <c:spPr>
              <a:ln w="3175">
                <a:noFill/>
              </a:ln>
            </c:spPr>
            <c:marker>
              <c:symbol val="none"/>
            </c:marker>
          </c:dPt>
          <c:dPt>
            <c:idx val="52"/>
            <c:spPr>
              <a:ln w="3175">
                <a:noFill/>
              </a:ln>
            </c:spPr>
            <c:marker>
              <c:symbol val="none"/>
            </c:marker>
          </c:dPt>
          <c:dPt>
            <c:idx val="56"/>
            <c:spPr>
              <a:ln w="3175">
                <a:noFill/>
              </a:ln>
            </c:spPr>
            <c:marker>
              <c:symbol val="none"/>
            </c:marker>
          </c:dPt>
          <c:dPt>
            <c:idx val="58"/>
            <c:spPr>
              <a:ln w="3175">
                <a:noFill/>
              </a:ln>
            </c:spPr>
            <c:marker>
              <c:symbol val="none"/>
            </c:marker>
          </c:dPt>
          <c:dPt>
            <c:idx val="60"/>
            <c:spPr>
              <a:ln w="3175">
                <a:noFill/>
              </a:ln>
            </c:spPr>
            <c:marker>
              <c:symbol val="none"/>
            </c:marker>
          </c:dPt>
          <c:dPt>
            <c:idx val="61"/>
            <c:spPr>
              <a:ln w="3175">
                <a:noFill/>
              </a:ln>
            </c:spPr>
            <c:marker>
              <c:symbol val="none"/>
            </c:marker>
          </c:dPt>
          <c:dPt>
            <c:idx val="63"/>
            <c:spPr>
              <a:ln w="3175">
                <a:noFill/>
              </a:ln>
            </c:spPr>
            <c:marker>
              <c:symbol val="none"/>
            </c:marker>
          </c:dPt>
          <c:dPt>
            <c:idx val="65"/>
            <c:spPr>
              <a:ln w="3175">
                <a:noFill/>
              </a:ln>
            </c:spPr>
            <c:marker>
              <c:symbol val="none"/>
            </c:marker>
          </c:dPt>
          <c:dPt>
            <c:idx val="67"/>
            <c:spPr>
              <a:ln w="3175">
                <a:noFill/>
              </a:ln>
            </c:spPr>
            <c:marker>
              <c:symbol val="none"/>
            </c:marker>
          </c:dPt>
          <c:dPt>
            <c:idx val="69"/>
            <c:spPr>
              <a:ln w="3175">
                <a:noFill/>
              </a:ln>
            </c:spPr>
            <c:marker>
              <c:symbol val="none"/>
            </c:marker>
          </c:dPt>
          <c:dPt>
            <c:idx val="71"/>
            <c:spPr>
              <a:ln w="3175">
                <a:noFill/>
              </a:ln>
            </c:spPr>
            <c:marker>
              <c:symbol val="none"/>
            </c:marker>
          </c:dPt>
          <c:dPt>
            <c:idx val="73"/>
            <c:spPr>
              <a:ln w="3175">
                <a:noFill/>
              </a:ln>
            </c:spPr>
            <c:marker>
              <c:symbol val="none"/>
            </c:marker>
          </c:dPt>
          <c:dPt>
            <c:idx val="75"/>
            <c:spPr>
              <a:ln w="3175">
                <a:noFill/>
              </a:ln>
            </c:spPr>
            <c:marker>
              <c:symbol val="none"/>
            </c:marker>
          </c:dPt>
          <c:dPt>
            <c:idx val="77"/>
            <c:spPr>
              <a:ln w="3175">
                <a:noFill/>
              </a:ln>
            </c:spPr>
            <c:marker>
              <c:symbol val="none"/>
            </c:marker>
          </c:dPt>
          <c:dPt>
            <c:idx val="79"/>
            <c:spPr>
              <a:ln w="3175">
                <a:noFill/>
              </a:ln>
            </c:spPr>
            <c:marker>
              <c:symbol val="none"/>
            </c:marker>
          </c:dPt>
          <c:dPt>
            <c:idx val="81"/>
            <c:spPr>
              <a:ln w="3175">
                <a:noFill/>
              </a:ln>
            </c:spPr>
            <c:marker>
              <c:symbol val="none"/>
            </c:marker>
          </c:dPt>
          <c:dPt>
            <c:idx val="83"/>
            <c:spPr>
              <a:ln w="3175">
                <a:noFill/>
              </a:ln>
            </c:spPr>
            <c:marker>
              <c:symbol val="none"/>
            </c:marker>
          </c:dPt>
          <c:dPt>
            <c:idx val="85"/>
            <c:spPr>
              <a:ln w="3175">
                <a:noFill/>
              </a:ln>
            </c:spPr>
            <c:marker>
              <c:symbol val="none"/>
            </c:marker>
          </c:dPt>
          <c:dPt>
            <c:idx val="87"/>
            <c:spPr>
              <a:ln w="3175">
                <a:noFill/>
              </a:ln>
            </c:spPr>
            <c:marker>
              <c:symbol val="none"/>
            </c:marker>
          </c:dPt>
          <c:dPt>
            <c:idx val="89"/>
            <c:spPr>
              <a:ln w="3175">
                <a:noFill/>
              </a:ln>
            </c:spPr>
            <c:marker>
              <c:symbol val="none"/>
            </c:marker>
          </c:dPt>
          <c:dPt>
            <c:idx val="91"/>
            <c:spPr>
              <a:ln w="3175">
                <a:noFill/>
              </a:ln>
            </c:spPr>
            <c:marker>
              <c:symbol val="none"/>
            </c:marker>
          </c:dPt>
          <c:dPt>
            <c:idx val="93"/>
            <c:spPr>
              <a:ln w="3175">
                <a:noFill/>
              </a:ln>
            </c:spPr>
            <c:marker>
              <c:symbol val="none"/>
            </c:marker>
          </c:dPt>
          <c:dPt>
            <c:idx val="95"/>
            <c:spPr>
              <a:ln w="3175">
                <a:noFill/>
              </a:ln>
            </c:spPr>
            <c:marker>
              <c:symbol val="none"/>
            </c:marker>
          </c:dPt>
          <c:dPt>
            <c:idx val="97"/>
            <c:spPr>
              <a:ln w="3175">
                <a:noFill/>
              </a:ln>
            </c:spPr>
            <c:marker>
              <c:symbol val="none"/>
            </c:marker>
          </c:dPt>
          <c:dPt>
            <c:idx val="99"/>
            <c:spPr>
              <a:ln w="3175">
                <a:noFill/>
              </a:ln>
            </c:spPr>
            <c:marker>
              <c:symbol val="none"/>
            </c:marker>
          </c:dPt>
          <c:dPt>
            <c:idx val="101"/>
            <c:spPr>
              <a:ln w="3175">
                <a:noFill/>
              </a:ln>
            </c:spPr>
            <c:marker>
              <c:symbol val="none"/>
            </c:marker>
          </c:dPt>
          <c:dPt>
            <c:idx val="102"/>
            <c:spPr>
              <a:ln w="12700">
                <a:solidFill>
                  <a:srgbClr val="C0C0C0"/>
                </a:solidFill>
              </a:ln>
            </c:spPr>
            <c:marker>
              <c:symbol val="none"/>
            </c:marker>
          </c:dPt>
          <c:dPt>
            <c:idx val="103"/>
            <c:spPr>
              <a:ln w="3175">
                <a:noFill/>
              </a:ln>
            </c:spPr>
            <c:marker>
              <c:symbol val="none"/>
            </c:marker>
          </c:dPt>
          <c:dPt>
            <c:idx val="104"/>
            <c:spPr>
              <a:ln w="12700">
                <a:solidFill>
                  <a:srgbClr val="C0C0C0"/>
                </a:solidFill>
              </a:ln>
            </c:spPr>
            <c:marker>
              <c:symbol val="none"/>
            </c:marker>
          </c:dPt>
          <c:dPt>
            <c:idx val="105"/>
            <c:spPr>
              <a:ln w="3175">
                <a:noFill/>
              </a:ln>
            </c:spPr>
            <c:marker>
              <c:symbol val="none"/>
            </c:marker>
          </c:dPt>
          <c:dPt>
            <c:idx val="106"/>
            <c:spPr>
              <a:ln w="12700">
                <a:solidFill>
                  <a:srgbClr val="C0C0C0"/>
                </a:solidFill>
              </a:ln>
            </c:spPr>
            <c:marker>
              <c:symbol val="none"/>
            </c:marker>
          </c:dPt>
          <c:dPt>
            <c:idx val="107"/>
            <c:spPr>
              <a:ln w="3175">
                <a:noFill/>
              </a:ln>
            </c:spPr>
            <c:marker>
              <c:symbol val="none"/>
            </c:marker>
          </c:dPt>
          <c:dPt>
            <c:idx val="108"/>
            <c:spPr>
              <a:ln w="12700">
                <a:solidFill>
                  <a:srgbClr val="C0C0C0"/>
                </a:solidFill>
              </a:ln>
            </c:spPr>
            <c:marker>
              <c:symbol val="none"/>
            </c:marker>
          </c:dPt>
          <c:dPt>
            <c:idx val="109"/>
            <c:spPr>
              <a:ln w="3175">
                <a:noFill/>
              </a:ln>
            </c:spPr>
            <c:marker>
              <c:symbol val="none"/>
            </c:marker>
          </c:dPt>
          <c:dPt>
            <c:idx val="110"/>
            <c:spPr>
              <a:ln w="12700">
                <a:solidFill>
                  <a:srgbClr val="C0C0C0"/>
                </a:solidFill>
              </a:ln>
            </c:spPr>
            <c:marker>
              <c:symbol val="none"/>
            </c:marker>
          </c:dPt>
          <c:dPt>
            <c:idx val="111"/>
            <c:spPr>
              <a:ln w="3175">
                <a:noFill/>
              </a:ln>
            </c:spPr>
            <c:marker>
              <c:symbol val="none"/>
            </c:marker>
          </c:dPt>
          <c:dPt>
            <c:idx val="112"/>
            <c:spPr>
              <a:ln w="12700">
                <a:solidFill>
                  <a:srgbClr val="C0C0C0"/>
                </a:solidFill>
              </a:ln>
            </c:spPr>
            <c:marker>
              <c:symbol val="none"/>
            </c:marker>
          </c:dPt>
          <c:dPt>
            <c:idx val="113"/>
            <c:spPr>
              <a:ln w="3175">
                <a:noFill/>
              </a:ln>
            </c:spPr>
            <c:marker>
              <c:symbol val="none"/>
            </c:marker>
          </c:dPt>
          <c:dPt>
            <c:idx val="114"/>
            <c:spPr>
              <a:ln w="12700">
                <a:solidFill>
                  <a:srgbClr val="C0C0C0"/>
                </a:solidFill>
              </a:ln>
            </c:spPr>
            <c:marker>
              <c:symbol val="none"/>
            </c:marker>
          </c:dPt>
          <c:dPt>
            <c:idx val="115"/>
            <c:spPr>
              <a:ln w="3175">
                <a:noFill/>
              </a:ln>
            </c:spPr>
            <c:marker>
              <c:symbol val="none"/>
            </c:marker>
          </c:dPt>
          <c:dPt>
            <c:idx val="116"/>
            <c:spPr>
              <a:ln w="12700">
                <a:solidFill>
                  <a:srgbClr val="C0C0C0"/>
                </a:solidFill>
              </a:ln>
            </c:spPr>
            <c:marker>
              <c:symbol val="none"/>
            </c:marker>
          </c:dPt>
          <c:dPt>
            <c:idx val="117"/>
            <c:spPr>
              <a:ln w="3175">
                <a:noFill/>
              </a:ln>
            </c:spPr>
            <c:marker>
              <c:symbol val="none"/>
            </c:marker>
          </c:dPt>
          <c:dPt>
            <c:idx val="118"/>
            <c:spPr>
              <a:ln w="12700">
                <a:solidFill>
                  <a:srgbClr val="C0C0C0"/>
                </a:solidFill>
              </a:ln>
            </c:spPr>
            <c:marker>
              <c:symbol val="none"/>
            </c:marker>
          </c:dPt>
          <c:dPt>
            <c:idx val="119"/>
            <c:spPr>
              <a:ln w="3175">
                <a:noFill/>
              </a:ln>
            </c:spPr>
            <c:marker>
              <c:symbol val="none"/>
            </c:marker>
          </c:dPt>
          <c:dPt>
            <c:idx val="120"/>
            <c:spPr>
              <a:ln w="12700">
                <a:solidFill>
                  <a:srgbClr val="C0C0C0"/>
                </a:solidFill>
              </a:ln>
            </c:spPr>
            <c:marker>
              <c:symbol val="none"/>
            </c:marker>
          </c:dPt>
          <c:dPt>
            <c:idx val="121"/>
            <c:spPr>
              <a:ln w="3175">
                <a:noFill/>
              </a:ln>
            </c:spPr>
            <c:marker>
              <c:symbol val="none"/>
            </c:marker>
          </c:dPt>
          <c:dPt>
            <c:idx val="122"/>
            <c:spPr>
              <a:ln w="12700">
                <a:solidFill>
                  <a:srgbClr val="C0C0C0"/>
                </a:solidFill>
              </a:ln>
            </c:spPr>
            <c:marker>
              <c:symbol val="none"/>
            </c:marker>
          </c:dPt>
          <c:dPt>
            <c:idx val="123"/>
            <c:spPr>
              <a:ln w="3175">
                <a:noFill/>
              </a:ln>
            </c:spPr>
            <c:marker>
              <c:symbol val="none"/>
            </c:marker>
          </c:dPt>
          <c:dPt>
            <c:idx val="124"/>
            <c:spPr>
              <a:ln w="12700">
                <a:solidFill>
                  <a:srgbClr val="C0C0C0"/>
                </a:solidFill>
              </a:ln>
            </c:spPr>
            <c:marker>
              <c:symbol val="none"/>
            </c:marker>
          </c:dPt>
          <c:dPt>
            <c:idx val="125"/>
            <c:spPr>
              <a:ln w="3175">
                <a:noFill/>
              </a:ln>
            </c:spPr>
            <c:marker>
              <c:symbol val="none"/>
            </c:marker>
          </c:dPt>
          <c:dPt>
            <c:idx val="126"/>
            <c:spPr>
              <a:ln w="12700">
                <a:solidFill>
                  <a:srgbClr val="C0C0C0"/>
                </a:solidFill>
              </a:ln>
            </c:spPr>
            <c:marker>
              <c:symbol val="none"/>
            </c:marker>
          </c:dPt>
          <c:dPt>
            <c:idx val="127"/>
            <c:spPr>
              <a:ln w="3175">
                <a:noFill/>
              </a:ln>
            </c:spPr>
            <c:marker>
              <c:symbol val="none"/>
            </c:marker>
          </c:dPt>
          <c:dPt>
            <c:idx val="128"/>
            <c:spPr>
              <a:ln w="12700">
                <a:solidFill>
                  <a:srgbClr val="C0C0C0"/>
                </a:solidFill>
              </a:ln>
            </c:spPr>
            <c:marker>
              <c:symbol val="none"/>
            </c:marker>
          </c:dPt>
          <c:dPt>
            <c:idx val="129"/>
            <c:spPr>
              <a:ln w="3175">
                <a:noFill/>
              </a:ln>
            </c:spPr>
            <c:marker>
              <c:symbol val="none"/>
            </c:marker>
          </c:dPt>
          <c:dPt>
            <c:idx val="130"/>
            <c:spPr>
              <a:ln w="12700">
                <a:solidFill>
                  <a:srgbClr val="C0C0C0"/>
                </a:solidFill>
              </a:ln>
            </c:spPr>
            <c:marker>
              <c:symbol val="none"/>
            </c:marker>
          </c:dPt>
          <c:dPt>
            <c:idx val="131"/>
            <c:spPr>
              <a:ln w="3175">
                <a:noFill/>
              </a:ln>
            </c:spPr>
            <c:marker>
              <c:symbol val="none"/>
            </c:marker>
          </c:dPt>
          <c:dPt>
            <c:idx val="132"/>
            <c:spPr>
              <a:ln w="3175">
                <a:noFill/>
              </a:ln>
            </c:spPr>
            <c:marker>
              <c:symbol val="none"/>
            </c:marker>
          </c:dPt>
          <c:dPt>
            <c:idx val="133"/>
            <c:spPr>
              <a:ln w="25400">
                <a:solidFill>
                  <a:srgbClr val="FF0000"/>
                </a:solidFill>
              </a:ln>
            </c:spPr>
            <c:marker>
              <c:symbol val="none"/>
            </c:marker>
          </c:dPt>
          <c:dPt>
            <c:idx val="134"/>
            <c:spPr>
              <a:ln w="3175">
                <a:noFill/>
              </a:ln>
            </c:spPr>
            <c:marker>
              <c:symbol val="none"/>
            </c:marker>
          </c:dPt>
          <c:dPt>
            <c:idx val="135"/>
            <c:spPr>
              <a:ln w="25400">
                <a:solidFill>
                  <a:srgbClr val="FF0000"/>
                </a:solidFill>
              </a:ln>
            </c:spPr>
            <c:marker>
              <c:symbol val="none"/>
            </c:marker>
          </c:dPt>
          <c:dPt>
            <c:idx val="136"/>
            <c:spPr>
              <a:ln w="3175">
                <a:noFill/>
              </a:ln>
            </c:spPr>
            <c:marker>
              <c:symbol val="none"/>
            </c:marker>
          </c:dPt>
          <c:dPt>
            <c:idx val="137"/>
            <c:spPr>
              <a:ln w="25400">
                <a:solidFill>
                  <a:srgbClr val="FF0000"/>
                </a:solidFill>
              </a:ln>
            </c:spPr>
            <c:marker>
              <c:symbol val="none"/>
            </c:marker>
          </c:dPt>
          <c:dPt>
            <c:idx val="138"/>
            <c:spPr>
              <a:ln w="3175">
                <a:noFill/>
              </a:ln>
            </c:spPr>
            <c:marker>
              <c:symbol val="none"/>
            </c:marker>
          </c:dPt>
          <c:dPt>
            <c:idx val="139"/>
            <c:spPr>
              <a:ln w="25400">
                <a:solidFill>
                  <a:srgbClr val="FF0000"/>
                </a:solidFill>
              </a:ln>
            </c:spPr>
            <c:marker>
              <c:symbol val="none"/>
            </c:marker>
          </c:dPt>
          <c:dPt>
            <c:idx val="140"/>
            <c:spPr>
              <a:ln w="3175">
                <a:noFill/>
              </a:ln>
            </c:spPr>
            <c:marker>
              <c:symbol val="none"/>
            </c:marker>
          </c:dPt>
          <c:dPt>
            <c:idx val="141"/>
            <c:spPr>
              <a:ln w="38100">
                <a:pattFill prst="pct75">
                  <a:fgClr>
                    <a:srgbClr val="000000"/>
                  </a:fgClr>
                  <a:bgClr>
                    <a:srgbClr val="FFFFFF"/>
                  </a:bgClr>
                </a:pattFill>
              </a:ln>
            </c:spPr>
            <c:marker>
              <c:symbol val="none"/>
            </c:marker>
          </c:dPt>
          <c:dPt>
            <c:idx val="142"/>
            <c:spPr>
              <a:ln w="3175">
                <a:noFill/>
              </a:ln>
            </c:spPr>
            <c:marker>
              <c:symbol val="none"/>
            </c:marker>
          </c:dPt>
          <c:dPt>
            <c:idx val="143"/>
            <c:spPr>
              <a:ln w="12700">
                <a:solidFill>
                  <a:srgbClr val="0000FF"/>
                </a:solidFill>
                <a:prstDash val="dash"/>
              </a:ln>
            </c:spPr>
            <c:marker>
              <c:symbol val="none"/>
            </c:marker>
          </c:dPt>
          <c:dPt>
            <c:idx val="144"/>
            <c:spPr>
              <a:ln w="3175">
                <a:noFill/>
              </a:ln>
            </c:spPr>
            <c:marker>
              <c:symbol val="none"/>
            </c:marker>
          </c:dPt>
          <c:dPt>
            <c:idx val="145"/>
            <c:spPr>
              <a:ln w="12700">
                <a:solidFill>
                  <a:srgbClr val="000000"/>
                </a:solidFill>
                <a:prstDash val="dashDot"/>
              </a:ln>
            </c:spPr>
            <c:marker>
              <c:symbol val="none"/>
            </c:marker>
          </c:dPt>
          <c:dPt>
            <c:idx val="146"/>
            <c:spPr>
              <a:ln w="3175">
                <a:noFill/>
              </a:ln>
            </c:spPr>
            <c:marker>
              <c:symbol val="none"/>
            </c:marker>
          </c:dPt>
          <c:dPt>
            <c:idx val="147"/>
            <c:spPr>
              <a:ln w="12700">
                <a:solidFill>
                  <a:srgbClr val="000000"/>
                </a:solidFill>
                <a:prstDash val="dashDot"/>
              </a:ln>
            </c:spPr>
            <c:marker>
              <c:symbol val="none"/>
            </c:marker>
          </c:dPt>
          <c:dLbls>
            <c:dLbl>
              <c:idx val="143"/>
              <c:layout>
                <c:manualLayout>
                  <c:x val="0"/>
                  <c:y val="0"/>
                </c:manualLayout>
              </c:layout>
              <c:tx>
                <c:rich>
                  <a:bodyPr vert="horz" rot="0" anchor="ctr"/>
                  <a:lstStyle/>
                  <a:p>
                    <a:pPr algn="ctr">
                      <a:defRPr/>
                    </a:pPr>
                    <a:r>
                      <a:rPr lang="en-US" cap="none" sz="275" b="0" i="0" u="none" baseline="0">
                        <a:solidFill>
                          <a:srgbClr val="000000"/>
                        </a:solidFill>
                        <a:latin typeface="Arial"/>
                        <a:ea typeface="Arial"/>
                        <a:cs typeface="Arial"/>
                      </a:rPr>
                      <a:t>n-akseli</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Piirto!$C$4:$C$345</c:f>
              <c:numCache>
                <c:ptCount val="342"/>
                <c:pt idx="0">
                  <c:v>0</c:v>
                </c:pt>
                <c:pt idx="1">
                  <c:v>51</c:v>
                </c:pt>
                <c:pt idx="2">
                  <c:v>51</c:v>
                </c:pt>
                <c:pt idx="3">
                  <c:v>51</c:v>
                </c:pt>
                <c:pt idx="4">
                  <c:v>51</c:v>
                </c:pt>
                <c:pt idx="5">
                  <c:v>51</c:v>
                </c:pt>
                <c:pt idx="6">
                  <c:v>51</c:v>
                </c:pt>
                <c:pt idx="7">
                  <c:v>51</c:v>
                </c:pt>
                <c:pt idx="8">
                  <c:v>51</c:v>
                </c:pt>
                <c:pt idx="9">
                  <c:v>51</c:v>
                </c:pt>
                <c:pt idx="10">
                  <c:v>51</c:v>
                </c:pt>
                <c:pt idx="11">
                  <c:v>51</c:v>
                </c:pt>
                <c:pt idx="12">
                  <c:v>51</c:v>
                </c:pt>
                <c:pt idx="13">
                  <c:v>51</c:v>
                </c:pt>
                <c:pt idx="14">
                  <c:v>51</c:v>
                </c:pt>
                <c:pt idx="15">
                  <c:v>0</c:v>
                </c:pt>
                <c:pt idx="16">
                  <c:v>0</c:v>
                </c:pt>
                <c:pt idx="17">
                  <c:v>0</c:v>
                </c:pt>
                <c:pt idx="18">
                  <c:v>0</c:v>
                </c:pt>
                <c:pt idx="19">
                  <c:v>0</c:v>
                </c:pt>
                <c:pt idx="20">
                  <c:v>0</c:v>
                </c:pt>
                <c:pt idx="21">
                  <c:v>51</c:v>
                </c:pt>
                <c:pt idx="22">
                  <c:v>0</c:v>
                </c:pt>
                <c:pt idx="23">
                  <c:v>51</c:v>
                </c:pt>
                <c:pt idx="24">
                  <c:v>51</c:v>
                </c:pt>
                <c:pt idx="25">
                  <c:v>0</c:v>
                </c:pt>
                <c:pt idx="26">
                  <c:v>51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-150</c:v>
                </c:pt>
                <c:pt idx="57">
                  <c:v>201</c:v>
                </c:pt>
                <c:pt idx="58">
                  <c:v>201</c:v>
                </c:pt>
                <c:pt idx="59">
                  <c:v>-150</c:v>
                </c:pt>
                <c:pt idx="60">
                  <c:v>-150</c:v>
                </c:pt>
                <c:pt idx="61">
                  <c:v>-150</c:v>
                </c:pt>
                <c:pt idx="62">
                  <c:v>201</c:v>
                </c:pt>
                <c:pt idx="63">
                  <c:v>201</c:v>
                </c:pt>
                <c:pt idx="64">
                  <c:v>182.5263157894737</c:v>
                </c:pt>
                <c:pt idx="65">
                  <c:v>182.5263157894737</c:v>
                </c:pt>
                <c:pt idx="66">
                  <c:v>164.0526315789474</c:v>
                </c:pt>
                <c:pt idx="67">
                  <c:v>164.0526315789474</c:v>
                </c:pt>
                <c:pt idx="68">
                  <c:v>145.5789473684211</c:v>
                </c:pt>
                <c:pt idx="69">
                  <c:v>145.5789473684211</c:v>
                </c:pt>
                <c:pt idx="70">
                  <c:v>127.10526315789478</c:v>
                </c:pt>
                <c:pt idx="71">
                  <c:v>127.10526315789478</c:v>
                </c:pt>
                <c:pt idx="72">
                  <c:v>108.63157894736847</c:v>
                </c:pt>
                <c:pt idx="73">
                  <c:v>108.63157894736847</c:v>
                </c:pt>
                <c:pt idx="74">
                  <c:v>90.15789473684215</c:v>
                </c:pt>
                <c:pt idx="75">
                  <c:v>90.15789473684215</c:v>
                </c:pt>
                <c:pt idx="76">
                  <c:v>71.68421052631584</c:v>
                </c:pt>
                <c:pt idx="77">
                  <c:v>71.68421052631584</c:v>
                </c:pt>
                <c:pt idx="78">
                  <c:v>53.21052631578952</c:v>
                </c:pt>
                <c:pt idx="79">
                  <c:v>53.21052631578952</c:v>
                </c:pt>
                <c:pt idx="80">
                  <c:v>34.73684210526321</c:v>
                </c:pt>
                <c:pt idx="81">
                  <c:v>34.73684210526321</c:v>
                </c:pt>
                <c:pt idx="82">
                  <c:v>16.263157894736892</c:v>
                </c:pt>
                <c:pt idx="83">
                  <c:v>16.263157894736892</c:v>
                </c:pt>
                <c:pt idx="84">
                  <c:v>-2.210526315789423</c:v>
                </c:pt>
                <c:pt idx="85">
                  <c:v>-2.210526315789423</c:v>
                </c:pt>
                <c:pt idx="86">
                  <c:v>-20.684210526315738</c:v>
                </c:pt>
                <c:pt idx="87">
                  <c:v>-20.684210526315738</c:v>
                </c:pt>
                <c:pt idx="88">
                  <c:v>-39.15789473684205</c:v>
                </c:pt>
                <c:pt idx="89">
                  <c:v>-39.15789473684205</c:v>
                </c:pt>
                <c:pt idx="90">
                  <c:v>-57.63157894736837</c:v>
                </c:pt>
                <c:pt idx="91">
                  <c:v>-57.63157894736837</c:v>
                </c:pt>
                <c:pt idx="92">
                  <c:v>-76.10526315789468</c:v>
                </c:pt>
                <c:pt idx="93">
                  <c:v>-76.10526315789468</c:v>
                </c:pt>
                <c:pt idx="94">
                  <c:v>-94.578947368421</c:v>
                </c:pt>
                <c:pt idx="95">
                  <c:v>-94.578947368421</c:v>
                </c:pt>
                <c:pt idx="96">
                  <c:v>-113.05263157894731</c:v>
                </c:pt>
                <c:pt idx="97">
                  <c:v>-113.05263157894731</c:v>
                </c:pt>
                <c:pt idx="98">
                  <c:v>-131.52631578947364</c:v>
                </c:pt>
                <c:pt idx="99">
                  <c:v>-131.52631578947364</c:v>
                </c:pt>
                <c:pt idx="100">
                  <c:v>-149.99999999999994</c:v>
                </c:pt>
                <c:pt idx="101">
                  <c:v>-150</c:v>
                </c:pt>
                <c:pt idx="102">
                  <c:v>201</c:v>
                </c:pt>
                <c:pt idx="103">
                  <c:v>201</c:v>
                </c:pt>
                <c:pt idx="104">
                  <c:v>150.85714285714286</c:v>
                </c:pt>
                <c:pt idx="105">
                  <c:v>150.85714285714286</c:v>
                </c:pt>
                <c:pt idx="106">
                  <c:v>100.71428571428572</c:v>
                </c:pt>
                <c:pt idx="107">
                  <c:v>100.71428571428572</c:v>
                </c:pt>
                <c:pt idx="108">
                  <c:v>50.57142857142858</c:v>
                </c:pt>
                <c:pt idx="109">
                  <c:v>50.57142857142858</c:v>
                </c:pt>
                <c:pt idx="110">
                  <c:v>0.4285714285714306</c:v>
                </c:pt>
                <c:pt idx="111">
                  <c:v>0.4285714285714306</c:v>
                </c:pt>
                <c:pt idx="112">
                  <c:v>-49.714285714285715</c:v>
                </c:pt>
                <c:pt idx="113">
                  <c:v>-49.714285714285715</c:v>
                </c:pt>
                <c:pt idx="114">
                  <c:v>-99.85714285714286</c:v>
                </c:pt>
                <c:pt idx="115">
                  <c:v>-99.85714285714286</c:v>
                </c:pt>
                <c:pt idx="116">
                  <c:v>-150</c:v>
                </c:pt>
                <c:pt idx="117">
                  <c:v>-150</c:v>
                </c:pt>
                <c:pt idx="118">
                  <c:v>-99.85714285714286</c:v>
                </c:pt>
                <c:pt idx="119">
                  <c:v>-99.85714285714286</c:v>
                </c:pt>
                <c:pt idx="120">
                  <c:v>-49.714285714285715</c:v>
                </c:pt>
                <c:pt idx="121">
                  <c:v>-49.714285714285715</c:v>
                </c:pt>
                <c:pt idx="122">
                  <c:v>0.4285714285714306</c:v>
                </c:pt>
                <c:pt idx="123">
                  <c:v>0.4285714285714306</c:v>
                </c:pt>
                <c:pt idx="124">
                  <c:v>50.57142857142858</c:v>
                </c:pt>
                <c:pt idx="125">
                  <c:v>50.57142857142858</c:v>
                </c:pt>
                <c:pt idx="126">
                  <c:v>100.71428571428572</c:v>
                </c:pt>
                <c:pt idx="127">
                  <c:v>100.71428571428572</c:v>
                </c:pt>
                <c:pt idx="128">
                  <c:v>150.85714285714286</c:v>
                </c:pt>
                <c:pt idx="129">
                  <c:v>150.85714285714286</c:v>
                </c:pt>
                <c:pt idx="130">
                  <c:v>201</c:v>
                </c:pt>
                <c:pt idx="131">
                  <c:v>201</c:v>
                </c:pt>
                <c:pt idx="132">
                  <c:v>0</c:v>
                </c:pt>
                <c:pt idx="133">
                  <c:v>0</c:v>
                </c:pt>
                <c:pt idx="134">
                  <c:v>0</c:v>
                </c:pt>
                <c:pt idx="135">
                  <c:v>0</c:v>
                </c:pt>
                <c:pt idx="136">
                  <c:v>0</c:v>
                </c:pt>
                <c:pt idx="137">
                  <c:v>0</c:v>
                </c:pt>
                <c:pt idx="138">
                  <c:v>0</c:v>
                </c:pt>
                <c:pt idx="139">
                  <c:v>0</c:v>
                </c:pt>
                <c:pt idx="140">
                  <c:v>0</c:v>
                </c:pt>
                <c:pt idx="141">
                  <c:v>51</c:v>
                </c:pt>
                <c:pt idx="142">
                  <c:v>-150</c:v>
                </c:pt>
                <c:pt idx="143">
                  <c:v>201</c:v>
                </c:pt>
                <c:pt idx="144">
                  <c:v>-150</c:v>
                </c:pt>
                <c:pt idx="145">
                  <c:v>-150</c:v>
                </c:pt>
                <c:pt idx="146">
                  <c:v>201</c:v>
                </c:pt>
                <c:pt idx="147">
                  <c:v>201</c:v>
                </c:pt>
              </c:numCache>
            </c:numRef>
          </c:xVal>
          <c:yVal>
            <c:numRef>
              <c:f>Piirto!$D$4:$D$345</c:f>
              <c:numCache>
                <c:ptCount val="342"/>
                <c:pt idx="0">
                  <c:v>0</c:v>
                </c:pt>
                <c:pt idx="1">
                  <c:v>0</c:v>
                </c:pt>
                <c:pt idx="2">
                  <c:v>70</c:v>
                </c:pt>
                <c:pt idx="3">
                  <c:v>70</c:v>
                </c:pt>
                <c:pt idx="4">
                  <c:v>50</c:v>
                </c:pt>
                <c:pt idx="5">
                  <c:v>50</c:v>
                </c:pt>
                <c:pt idx="6">
                  <c:v>70</c:v>
                </c:pt>
                <c:pt idx="7">
                  <c:v>230</c:v>
                </c:pt>
                <c:pt idx="8">
                  <c:v>250</c:v>
                </c:pt>
                <c:pt idx="9">
                  <c:v>250</c:v>
                </c:pt>
                <c:pt idx="10">
                  <c:v>230</c:v>
                </c:pt>
                <c:pt idx="11">
                  <c:v>70</c:v>
                </c:pt>
                <c:pt idx="12">
                  <c:v>230</c:v>
                </c:pt>
                <c:pt idx="13">
                  <c:v>230</c:v>
                </c:pt>
                <c:pt idx="14">
                  <c:v>300</c:v>
                </c:pt>
                <c:pt idx="15">
                  <c:v>300</c:v>
                </c:pt>
                <c:pt idx="16">
                  <c:v>230</c:v>
                </c:pt>
                <c:pt idx="17">
                  <c:v>230</c:v>
                </c:pt>
                <c:pt idx="18">
                  <c:v>70</c:v>
                </c:pt>
                <c:pt idx="19">
                  <c:v>70</c:v>
                </c:pt>
                <c:pt idx="20">
                  <c:v>0</c:v>
                </c:pt>
                <c:pt idx="21">
                  <c:v>300</c:v>
                </c:pt>
                <c:pt idx="22">
                  <c:v>300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300</c:v>
                </c:pt>
                <c:pt idx="57">
                  <c:v>300</c:v>
                </c:pt>
                <c:pt idx="58">
                  <c:v>300</c:v>
                </c:pt>
                <c:pt idx="59">
                  <c:v>300</c:v>
                </c:pt>
                <c:pt idx="60">
                  <c:v>300</c:v>
                </c:pt>
                <c:pt idx="61">
                  <c:v>318</c:v>
                </c:pt>
                <c:pt idx="62">
                  <c:v>318</c:v>
                </c:pt>
                <c:pt idx="63">
                  <c:v>300</c:v>
                </c:pt>
                <c:pt idx="64">
                  <c:v>318</c:v>
                </c:pt>
                <c:pt idx="65">
                  <c:v>300</c:v>
                </c:pt>
                <c:pt idx="66">
                  <c:v>318</c:v>
                </c:pt>
                <c:pt idx="67">
                  <c:v>300</c:v>
                </c:pt>
                <c:pt idx="68">
                  <c:v>318</c:v>
                </c:pt>
                <c:pt idx="69">
                  <c:v>300</c:v>
                </c:pt>
                <c:pt idx="70">
                  <c:v>318</c:v>
                </c:pt>
                <c:pt idx="71">
                  <c:v>300</c:v>
                </c:pt>
                <c:pt idx="72">
                  <c:v>318</c:v>
                </c:pt>
                <c:pt idx="73">
                  <c:v>300</c:v>
                </c:pt>
                <c:pt idx="74">
                  <c:v>318</c:v>
                </c:pt>
                <c:pt idx="75">
                  <c:v>300</c:v>
                </c:pt>
                <c:pt idx="76">
                  <c:v>318</c:v>
                </c:pt>
                <c:pt idx="77">
                  <c:v>300</c:v>
                </c:pt>
                <c:pt idx="78">
                  <c:v>318</c:v>
                </c:pt>
                <c:pt idx="79">
                  <c:v>300</c:v>
                </c:pt>
                <c:pt idx="80">
                  <c:v>318</c:v>
                </c:pt>
                <c:pt idx="81">
                  <c:v>300</c:v>
                </c:pt>
                <c:pt idx="82">
                  <c:v>318</c:v>
                </c:pt>
                <c:pt idx="83">
                  <c:v>300</c:v>
                </c:pt>
                <c:pt idx="84">
                  <c:v>318</c:v>
                </c:pt>
                <c:pt idx="85">
                  <c:v>300</c:v>
                </c:pt>
                <c:pt idx="86">
                  <c:v>318</c:v>
                </c:pt>
                <c:pt idx="87">
                  <c:v>300</c:v>
                </c:pt>
                <c:pt idx="88">
                  <c:v>318</c:v>
                </c:pt>
                <c:pt idx="89">
                  <c:v>300</c:v>
                </c:pt>
                <c:pt idx="90">
                  <c:v>318</c:v>
                </c:pt>
                <c:pt idx="91">
                  <c:v>300</c:v>
                </c:pt>
                <c:pt idx="92">
                  <c:v>318</c:v>
                </c:pt>
                <c:pt idx="93">
                  <c:v>300</c:v>
                </c:pt>
                <c:pt idx="94">
                  <c:v>318</c:v>
                </c:pt>
                <c:pt idx="95">
                  <c:v>300</c:v>
                </c:pt>
                <c:pt idx="96">
                  <c:v>318</c:v>
                </c:pt>
                <c:pt idx="97">
                  <c:v>300</c:v>
                </c:pt>
                <c:pt idx="98">
                  <c:v>318</c:v>
                </c:pt>
                <c:pt idx="99">
                  <c:v>300</c:v>
                </c:pt>
                <c:pt idx="100">
                  <c:v>318</c:v>
                </c:pt>
                <c:pt idx="101">
                  <c:v>378</c:v>
                </c:pt>
                <c:pt idx="102">
                  <c:v>378</c:v>
                </c:pt>
                <c:pt idx="103">
                  <c:v>318</c:v>
                </c:pt>
                <c:pt idx="104">
                  <c:v>378</c:v>
                </c:pt>
                <c:pt idx="105">
                  <c:v>318</c:v>
                </c:pt>
                <c:pt idx="106">
                  <c:v>378</c:v>
                </c:pt>
                <c:pt idx="107">
                  <c:v>318</c:v>
                </c:pt>
                <c:pt idx="108">
                  <c:v>378</c:v>
                </c:pt>
                <c:pt idx="109">
                  <c:v>318</c:v>
                </c:pt>
                <c:pt idx="110">
                  <c:v>378</c:v>
                </c:pt>
                <c:pt idx="111">
                  <c:v>318</c:v>
                </c:pt>
                <c:pt idx="112">
                  <c:v>378</c:v>
                </c:pt>
                <c:pt idx="113">
                  <c:v>318</c:v>
                </c:pt>
                <c:pt idx="114">
                  <c:v>378</c:v>
                </c:pt>
                <c:pt idx="115">
                  <c:v>318</c:v>
                </c:pt>
                <c:pt idx="116">
                  <c:v>378</c:v>
                </c:pt>
                <c:pt idx="117">
                  <c:v>318</c:v>
                </c:pt>
                <c:pt idx="118">
                  <c:v>378</c:v>
                </c:pt>
                <c:pt idx="119">
                  <c:v>318</c:v>
                </c:pt>
                <c:pt idx="120">
                  <c:v>378</c:v>
                </c:pt>
                <c:pt idx="121">
                  <c:v>318</c:v>
                </c:pt>
                <c:pt idx="122">
                  <c:v>378</c:v>
                </c:pt>
                <c:pt idx="123">
                  <c:v>318</c:v>
                </c:pt>
                <c:pt idx="124">
                  <c:v>378</c:v>
                </c:pt>
                <c:pt idx="125">
                  <c:v>318</c:v>
                </c:pt>
                <c:pt idx="126">
                  <c:v>378</c:v>
                </c:pt>
                <c:pt idx="127">
                  <c:v>318</c:v>
                </c:pt>
                <c:pt idx="128">
                  <c:v>378</c:v>
                </c:pt>
                <c:pt idx="129">
                  <c:v>318</c:v>
                </c:pt>
                <c:pt idx="130">
                  <c:v>378</c:v>
                </c:pt>
                <c:pt idx="131">
                  <c:v>318</c:v>
                </c:pt>
                <c:pt idx="132">
                  <c:v>0</c:v>
                </c:pt>
                <c:pt idx="133">
                  <c:v>0</c:v>
                </c:pt>
                <c:pt idx="134">
                  <c:v>0</c:v>
                </c:pt>
                <c:pt idx="135">
                  <c:v>0</c:v>
                </c:pt>
                <c:pt idx="136">
                  <c:v>0</c:v>
                </c:pt>
                <c:pt idx="137">
                  <c:v>0</c:v>
                </c:pt>
                <c:pt idx="138">
                  <c:v>0</c:v>
                </c:pt>
                <c:pt idx="139">
                  <c:v>0</c:v>
                </c:pt>
                <c:pt idx="140">
                  <c:v>300</c:v>
                </c:pt>
                <c:pt idx="141">
                  <c:v>300</c:v>
                </c:pt>
                <c:pt idx="142">
                  <c:v>170.07692995262641</c:v>
                </c:pt>
                <c:pt idx="143">
                  <c:v>170.07692995262641</c:v>
                </c:pt>
                <c:pt idx="144">
                  <c:v>0</c:v>
                </c:pt>
                <c:pt idx="145">
                  <c:v>378</c:v>
                </c:pt>
                <c:pt idx="146">
                  <c:v>378</c:v>
                </c:pt>
                <c:pt idx="147">
                  <c:v>0</c:v>
                </c:pt>
              </c:numCache>
            </c:numRef>
          </c:yVal>
          <c:smooth val="0"/>
        </c:ser>
        <c:axId val="62371904"/>
        <c:axId val="24476225"/>
      </c:scatterChart>
      <c:valAx>
        <c:axId val="62371904"/>
        <c:scaling>
          <c:orientation val="minMax"/>
          <c:max val="250"/>
          <c:min val="-200"/>
        </c:scaling>
        <c:axPos val="b"/>
        <c:delete val="1"/>
        <c:majorTickMark val="out"/>
        <c:minorTickMark val="none"/>
        <c:tickLblPos val="nextTo"/>
        <c:crossAx val="24476225"/>
        <c:crosses val="autoZero"/>
        <c:crossBetween val="midCat"/>
        <c:dispUnits/>
      </c:valAx>
      <c:valAx>
        <c:axId val="24476225"/>
        <c:scaling>
          <c:orientation val="minMax"/>
          <c:max val="700"/>
          <c:min val="-2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62371904"/>
        <c:crossesAt val="-200"/>
        <c:crossBetween val="midCat"/>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2475"/>
          <c:w val="0.92425"/>
          <c:h val="0.946"/>
        </c:manualLayout>
      </c:layout>
      <c:scatterChart>
        <c:scatterStyle val="line"/>
        <c:varyColors val="0"/>
        <c:ser>
          <c:idx val="0"/>
          <c:order val="0"/>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2"/>
            <c:spPr>
              <a:ln w="3175">
                <a:noFill/>
              </a:ln>
            </c:spPr>
            <c:marker>
              <c:symbol val="none"/>
            </c:marker>
          </c:dPt>
          <c:dPt>
            <c:idx val="24"/>
            <c:spPr>
              <a:ln w="3175">
                <a:noFill/>
              </a:ln>
            </c:spPr>
            <c:marker>
              <c:symbol val="none"/>
            </c:marker>
          </c:dPt>
          <c:dPt>
            <c:idx val="28"/>
            <c:spPr>
              <a:ln w="3175">
                <a:noFill/>
              </a:ln>
            </c:spPr>
            <c:marker>
              <c:symbol val="none"/>
            </c:marker>
          </c:dPt>
          <c:dPt>
            <c:idx val="31"/>
            <c:spPr>
              <a:ln w="12700">
                <a:solidFill>
                  <a:srgbClr val="FFCC00"/>
                </a:solidFill>
              </a:ln>
            </c:spPr>
            <c:marker>
              <c:symbol val="none"/>
            </c:marker>
          </c:dPt>
          <c:dPt>
            <c:idx val="37"/>
            <c:spPr>
              <a:ln w="3175">
                <a:noFill/>
              </a:ln>
            </c:spPr>
            <c:marker>
              <c:symbol val="none"/>
            </c:marker>
          </c:dPt>
          <c:dPt>
            <c:idx val="45"/>
            <c:spPr>
              <a:ln w="3175">
                <a:noFill/>
              </a:ln>
            </c:spPr>
            <c:marker>
              <c:symbol val="none"/>
            </c:marker>
          </c:dPt>
          <c:dPt>
            <c:idx val="47"/>
            <c:spPr>
              <a:ln w="3175">
                <a:noFill/>
              </a:ln>
            </c:spPr>
            <c:marker>
              <c:symbol val="none"/>
            </c:marker>
          </c:dPt>
          <c:dPt>
            <c:idx val="56"/>
            <c:spPr>
              <a:ln w="3175">
                <a:noFill/>
              </a:ln>
            </c:spPr>
            <c:marker>
              <c:symbol val="none"/>
            </c:marker>
          </c:dPt>
          <c:dPt>
            <c:idx val="58"/>
            <c:spPr>
              <a:ln w="3175">
                <a:noFill/>
              </a:ln>
            </c:spPr>
            <c:marker>
              <c:symbol val="none"/>
            </c:marker>
          </c:dPt>
          <c:dPt>
            <c:idx val="60"/>
            <c:spPr>
              <a:ln w="3175">
                <a:noFill/>
              </a:ln>
            </c:spPr>
            <c:marker>
              <c:symbol val="none"/>
            </c:marker>
          </c:dPt>
          <c:dPt>
            <c:idx val="62"/>
            <c:spPr>
              <a:ln w="3175">
                <a:noFill/>
              </a:ln>
            </c:spPr>
            <c:marker>
              <c:symbol val="none"/>
            </c:marker>
          </c:dPt>
          <c:dPt>
            <c:idx val="64"/>
            <c:spPr>
              <a:ln w="3175">
                <a:noFill/>
              </a:ln>
            </c:spPr>
            <c:marker>
              <c:symbol val="none"/>
            </c:marker>
          </c:dPt>
          <c:dPt>
            <c:idx val="66"/>
            <c:spPr>
              <a:ln w="3175">
                <a:noFill/>
              </a:ln>
            </c:spPr>
            <c:marker>
              <c:symbol val="none"/>
            </c:marker>
          </c:dPt>
          <c:dPt>
            <c:idx val="68"/>
            <c:spPr>
              <a:ln w="3175">
                <a:noFill/>
              </a:ln>
            </c:spPr>
            <c:marker>
              <c:symbol val="none"/>
            </c:marker>
          </c:dPt>
          <c:dPt>
            <c:idx val="70"/>
            <c:spPr>
              <a:ln w="3175">
                <a:noFill/>
              </a:ln>
            </c:spPr>
            <c:marker>
              <c:symbol val="none"/>
            </c:marker>
          </c:dPt>
          <c:dPt>
            <c:idx val="72"/>
            <c:spPr>
              <a:ln w="3175">
                <a:noFill/>
              </a:ln>
            </c:spPr>
            <c:marker>
              <c:symbol val="none"/>
            </c:marker>
          </c:dPt>
          <c:dPt>
            <c:idx val="74"/>
            <c:spPr>
              <a:ln w="3175">
                <a:noFill/>
              </a:ln>
            </c:spPr>
            <c:marker>
              <c:symbol val="none"/>
            </c:marker>
          </c:dPt>
          <c:dPt>
            <c:idx val="76"/>
            <c:spPr>
              <a:ln w="3175">
                <a:noFill/>
              </a:ln>
            </c:spPr>
            <c:marker>
              <c:symbol val="none"/>
            </c:marker>
          </c:dPt>
          <c:dPt>
            <c:idx val="78"/>
            <c:spPr>
              <a:ln w="3175">
                <a:noFill/>
              </a:ln>
            </c:spPr>
            <c:marker>
              <c:symbol val="none"/>
            </c:marker>
          </c:dPt>
          <c:dPt>
            <c:idx val="80"/>
            <c:spPr>
              <a:ln w="3175">
                <a:noFill/>
              </a:ln>
            </c:spPr>
            <c:marker>
              <c:symbol val="none"/>
            </c:marker>
          </c:dPt>
          <c:dPt>
            <c:idx val="82"/>
            <c:spPr>
              <a:ln w="3175">
                <a:noFill/>
              </a:ln>
            </c:spPr>
            <c:marker>
              <c:symbol val="none"/>
            </c:marker>
          </c:dPt>
          <c:dPt>
            <c:idx val="84"/>
            <c:spPr>
              <a:ln w="3175">
                <a:noFill/>
              </a:ln>
            </c:spPr>
            <c:marker>
              <c:symbol val="none"/>
            </c:marker>
          </c:dPt>
          <c:dPt>
            <c:idx val="86"/>
            <c:spPr>
              <a:ln w="3175">
                <a:noFill/>
              </a:ln>
            </c:spPr>
            <c:marker>
              <c:symbol val="none"/>
            </c:marker>
          </c:dPt>
          <c:dPt>
            <c:idx val="88"/>
            <c:spPr>
              <a:ln w="3175">
                <a:noFill/>
              </a:ln>
            </c:spPr>
            <c:marker>
              <c:symbol val="none"/>
            </c:marker>
          </c:dPt>
          <c:dPt>
            <c:idx val="90"/>
            <c:spPr>
              <a:ln w="3175">
                <a:noFill/>
              </a:ln>
            </c:spPr>
            <c:marker>
              <c:symbol val="none"/>
            </c:marker>
          </c:dPt>
          <c:dPt>
            <c:idx val="92"/>
            <c:spPr>
              <a:ln w="3175">
                <a:noFill/>
              </a:ln>
            </c:spPr>
            <c:marker>
              <c:symbol val="none"/>
            </c:marker>
          </c:dPt>
          <c:dPt>
            <c:idx val="94"/>
            <c:spPr>
              <a:ln w="3175">
                <a:noFill/>
              </a:ln>
            </c:spPr>
            <c:marker>
              <c:symbol val="none"/>
            </c:marker>
          </c:dPt>
          <c:dPt>
            <c:idx val="96"/>
            <c:spPr>
              <a:ln w="3175">
                <a:noFill/>
              </a:ln>
            </c:spPr>
            <c:marker>
              <c:symbol val="none"/>
            </c:marker>
          </c:dPt>
          <c:dPt>
            <c:idx val="98"/>
            <c:spPr>
              <a:ln w="3175">
                <a:noFill/>
              </a:ln>
            </c:spPr>
            <c:marker>
              <c:symbol val="none"/>
            </c:marker>
          </c:dPt>
          <c:dPt>
            <c:idx val="99"/>
            <c:spPr>
              <a:ln w="3175">
                <a:noFill/>
              </a:ln>
            </c:spPr>
            <c:marker>
              <c:symbol val="none"/>
            </c:marker>
          </c:dPt>
          <c:dPt>
            <c:idx val="100"/>
            <c:spPr>
              <a:ln w="3175">
                <a:noFill/>
              </a:ln>
            </c:spPr>
            <c:marker>
              <c:symbol val="none"/>
            </c:marker>
          </c:dPt>
          <c:dPt>
            <c:idx val="101"/>
            <c:spPr>
              <a:ln w="12700">
                <a:solidFill>
                  <a:srgbClr val="C0C0C0"/>
                </a:solidFill>
              </a:ln>
            </c:spPr>
            <c:marker>
              <c:symbol val="none"/>
            </c:marker>
          </c:dPt>
          <c:dPt>
            <c:idx val="102"/>
            <c:spPr>
              <a:ln w="3175">
                <a:noFill/>
              </a:ln>
            </c:spPr>
            <c:marker>
              <c:symbol val="none"/>
            </c:marker>
          </c:dPt>
          <c:dPt>
            <c:idx val="103"/>
            <c:spPr>
              <a:ln w="12700">
                <a:solidFill>
                  <a:srgbClr val="C0C0C0"/>
                </a:solidFill>
              </a:ln>
            </c:spPr>
            <c:marker>
              <c:symbol val="none"/>
            </c:marker>
          </c:dPt>
          <c:dPt>
            <c:idx val="104"/>
            <c:spPr>
              <a:ln w="3175">
                <a:noFill/>
              </a:ln>
            </c:spPr>
            <c:marker>
              <c:symbol val="none"/>
            </c:marker>
          </c:dPt>
          <c:dPt>
            <c:idx val="105"/>
            <c:spPr>
              <a:ln w="12700">
                <a:solidFill>
                  <a:srgbClr val="C0C0C0"/>
                </a:solidFill>
              </a:ln>
            </c:spPr>
            <c:marker>
              <c:symbol val="none"/>
            </c:marker>
          </c:dPt>
          <c:dPt>
            <c:idx val="106"/>
            <c:spPr>
              <a:ln w="3175">
                <a:noFill/>
              </a:ln>
            </c:spPr>
            <c:marker>
              <c:symbol val="none"/>
            </c:marker>
          </c:dPt>
          <c:dPt>
            <c:idx val="107"/>
            <c:spPr>
              <a:ln w="12700">
                <a:solidFill>
                  <a:srgbClr val="C0C0C0"/>
                </a:solidFill>
              </a:ln>
            </c:spPr>
            <c:marker>
              <c:symbol val="none"/>
            </c:marker>
          </c:dPt>
          <c:dPt>
            <c:idx val="108"/>
            <c:spPr>
              <a:ln w="3175">
                <a:noFill/>
              </a:ln>
            </c:spPr>
            <c:marker>
              <c:symbol val="none"/>
            </c:marker>
          </c:dPt>
          <c:dPt>
            <c:idx val="109"/>
            <c:spPr>
              <a:ln w="12700">
                <a:solidFill>
                  <a:srgbClr val="C0C0C0"/>
                </a:solidFill>
              </a:ln>
            </c:spPr>
            <c:marker>
              <c:symbol val="none"/>
            </c:marker>
          </c:dPt>
          <c:dPt>
            <c:idx val="110"/>
            <c:spPr>
              <a:ln w="3175">
                <a:noFill/>
              </a:ln>
            </c:spPr>
            <c:marker>
              <c:symbol val="none"/>
            </c:marker>
          </c:dPt>
          <c:dPt>
            <c:idx val="111"/>
            <c:spPr>
              <a:ln w="12700">
                <a:solidFill>
                  <a:srgbClr val="C0C0C0"/>
                </a:solidFill>
              </a:ln>
            </c:spPr>
            <c:marker>
              <c:symbol val="none"/>
            </c:marker>
          </c:dPt>
          <c:dPt>
            <c:idx val="112"/>
            <c:spPr>
              <a:ln w="3175">
                <a:noFill/>
              </a:ln>
            </c:spPr>
            <c:marker>
              <c:symbol val="none"/>
            </c:marker>
          </c:dPt>
          <c:dPt>
            <c:idx val="113"/>
            <c:spPr>
              <a:ln w="12700">
                <a:solidFill>
                  <a:srgbClr val="C0C0C0"/>
                </a:solidFill>
              </a:ln>
            </c:spPr>
            <c:marker>
              <c:symbol val="none"/>
            </c:marker>
          </c:dPt>
          <c:dPt>
            <c:idx val="114"/>
            <c:spPr>
              <a:ln w="3175">
                <a:noFill/>
              </a:ln>
            </c:spPr>
            <c:marker>
              <c:symbol val="none"/>
            </c:marker>
          </c:dPt>
          <c:dPt>
            <c:idx val="115"/>
            <c:spPr>
              <a:ln w="12700">
                <a:solidFill>
                  <a:srgbClr val="C0C0C0"/>
                </a:solidFill>
              </a:ln>
            </c:spPr>
            <c:marker>
              <c:symbol val="none"/>
            </c:marker>
          </c:dPt>
          <c:dPt>
            <c:idx val="116"/>
            <c:spPr>
              <a:ln w="3175">
                <a:noFill/>
              </a:ln>
            </c:spPr>
            <c:marker>
              <c:symbol val="none"/>
            </c:marker>
          </c:dPt>
          <c:dPt>
            <c:idx val="117"/>
            <c:spPr>
              <a:ln w="12700">
                <a:solidFill>
                  <a:srgbClr val="C0C0C0"/>
                </a:solidFill>
              </a:ln>
            </c:spPr>
            <c:marker>
              <c:symbol val="none"/>
            </c:marker>
          </c:dPt>
          <c:dPt>
            <c:idx val="118"/>
            <c:spPr>
              <a:ln w="3175">
                <a:noFill/>
              </a:ln>
            </c:spPr>
            <c:marker>
              <c:symbol val="none"/>
            </c:marker>
          </c:dPt>
          <c:dPt>
            <c:idx val="119"/>
            <c:spPr>
              <a:ln w="12700">
                <a:solidFill>
                  <a:srgbClr val="C0C0C0"/>
                </a:solidFill>
              </a:ln>
            </c:spPr>
            <c:marker>
              <c:symbol val="none"/>
            </c:marker>
          </c:dPt>
          <c:dPt>
            <c:idx val="120"/>
            <c:spPr>
              <a:ln w="3175">
                <a:noFill/>
              </a:ln>
            </c:spPr>
            <c:marker>
              <c:symbol val="none"/>
            </c:marker>
          </c:dPt>
          <c:dPt>
            <c:idx val="121"/>
            <c:spPr>
              <a:ln w="12700">
                <a:solidFill>
                  <a:srgbClr val="C0C0C0"/>
                </a:solidFill>
              </a:ln>
            </c:spPr>
            <c:marker>
              <c:symbol val="none"/>
            </c:marker>
          </c:dPt>
          <c:dPt>
            <c:idx val="122"/>
            <c:spPr>
              <a:ln w="3175">
                <a:noFill/>
              </a:ln>
            </c:spPr>
            <c:marker>
              <c:symbol val="none"/>
            </c:marker>
          </c:dPt>
          <c:dPt>
            <c:idx val="123"/>
            <c:spPr>
              <a:ln w="12700">
                <a:solidFill>
                  <a:srgbClr val="C0C0C0"/>
                </a:solidFill>
              </a:ln>
            </c:spPr>
            <c:marker>
              <c:symbol val="none"/>
            </c:marker>
          </c:dPt>
          <c:dPt>
            <c:idx val="124"/>
            <c:spPr>
              <a:ln w="3175">
                <a:noFill/>
              </a:ln>
            </c:spPr>
            <c:marker>
              <c:symbol val="none"/>
            </c:marker>
          </c:dPt>
          <c:dPt>
            <c:idx val="125"/>
            <c:spPr>
              <a:ln w="12700">
                <a:solidFill>
                  <a:srgbClr val="C0C0C0"/>
                </a:solidFill>
              </a:ln>
            </c:spPr>
            <c:marker>
              <c:symbol val="none"/>
            </c:marker>
          </c:dPt>
          <c:dPt>
            <c:idx val="126"/>
            <c:spPr>
              <a:ln w="3175">
                <a:noFill/>
              </a:ln>
            </c:spPr>
            <c:marker>
              <c:symbol val="none"/>
            </c:marker>
          </c:dPt>
          <c:dPt>
            <c:idx val="127"/>
            <c:spPr>
              <a:ln w="12700">
                <a:solidFill>
                  <a:srgbClr val="C0C0C0"/>
                </a:solidFill>
              </a:ln>
            </c:spPr>
            <c:marker>
              <c:symbol val="none"/>
            </c:marker>
          </c:dPt>
          <c:dPt>
            <c:idx val="128"/>
            <c:spPr>
              <a:ln w="3175">
                <a:noFill/>
              </a:ln>
            </c:spPr>
            <c:marker>
              <c:symbol val="none"/>
            </c:marker>
          </c:dPt>
          <c:dPt>
            <c:idx val="129"/>
            <c:spPr>
              <a:ln w="12700">
                <a:solidFill>
                  <a:srgbClr val="C0C0C0"/>
                </a:solidFill>
              </a:ln>
            </c:spPr>
            <c:marker>
              <c:symbol val="none"/>
            </c:marker>
          </c:dPt>
          <c:dPt>
            <c:idx val="130"/>
            <c:spPr>
              <a:ln w="3175">
                <a:noFill/>
              </a:ln>
            </c:spPr>
            <c:marker>
              <c:symbol val="none"/>
            </c:marker>
          </c:dPt>
          <c:dPt>
            <c:idx val="131"/>
            <c:spPr>
              <a:ln w="3175">
                <a:noFill/>
              </a:ln>
            </c:spPr>
            <c:marker>
              <c:symbol val="none"/>
            </c:marker>
          </c:dPt>
          <c:dPt>
            <c:idx val="132"/>
            <c:spPr>
              <a:ln w="12700">
                <a:solidFill>
                  <a:srgbClr val="000000"/>
                </a:solidFill>
                <a:prstDash val="dashDot"/>
              </a:ln>
            </c:spPr>
            <c:marker>
              <c:symbol val="none"/>
            </c:marker>
          </c:dPt>
          <c:dPt>
            <c:idx val="133"/>
            <c:spPr>
              <a:ln w="3175">
                <a:noFill/>
              </a:ln>
            </c:spPr>
            <c:marker>
              <c:symbol val="none"/>
            </c:marker>
          </c:dPt>
          <c:dPt>
            <c:idx val="134"/>
            <c:spPr>
              <a:ln w="12700">
                <a:solidFill>
                  <a:srgbClr val="000000"/>
                </a:solidFill>
                <a:prstDash val="dashDot"/>
              </a:ln>
            </c:spPr>
            <c:marker>
              <c:symbol val="none"/>
            </c:marker>
          </c:dPt>
          <c:dPt>
            <c:idx val="135"/>
            <c:spPr>
              <a:ln w="3175">
                <a:noFill/>
              </a:ln>
            </c:spPr>
            <c:marker>
              <c:symbol val="none"/>
            </c:marker>
          </c:dPt>
          <c:dPt>
            <c:idx val="136"/>
            <c:spPr>
              <a:ln w="12700">
                <a:solidFill>
                  <a:srgbClr val="0000FF"/>
                </a:solidFill>
                <a:prstDash val="dash"/>
              </a:ln>
            </c:spPr>
            <c:marker>
              <c:symbol val="none"/>
            </c:marker>
          </c:dPt>
          <c:xVal>
            <c:numRef>
              <c:f>Piirto!$L$4:$L$140</c:f>
              <c:numCach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-150</c:v>
                </c:pt>
                <c:pt idx="46">
                  <c:v>201</c:v>
                </c:pt>
                <c:pt idx="47">
                  <c:v>201</c:v>
                </c:pt>
                <c:pt idx="48">
                  <c:v>-150</c:v>
                </c:pt>
                <c:pt idx="49">
                  <c:v>180</c:v>
                </c:pt>
                <c:pt idx="50">
                  <c:v>180</c:v>
                </c:pt>
                <c:pt idx="51">
                  <c:v>180</c:v>
                </c:pt>
                <c:pt idx="52">
                  <c:v>180</c:v>
                </c:pt>
                <c:pt idx="53">
                  <c:v>180</c:v>
                </c:pt>
                <c:pt idx="54">
                  <c:v>180</c:v>
                </c:pt>
                <c:pt idx="55">
                  <c:v>180</c:v>
                </c:pt>
                <c:pt idx="56">
                  <c:v>201</c:v>
                </c:pt>
                <c:pt idx="57">
                  <c:v>-150</c:v>
                </c:pt>
                <c:pt idx="58">
                  <c:v>-150</c:v>
                </c:pt>
                <c:pt idx="59">
                  <c:v>201</c:v>
                </c:pt>
                <c:pt idx="60">
                  <c:v>201</c:v>
                </c:pt>
                <c:pt idx="61">
                  <c:v>182.5263157894737</c:v>
                </c:pt>
                <c:pt idx="62">
                  <c:v>182.5263157894737</c:v>
                </c:pt>
                <c:pt idx="63">
                  <c:v>164.0526315789474</c:v>
                </c:pt>
                <c:pt idx="64">
                  <c:v>164.0526315789474</c:v>
                </c:pt>
                <c:pt idx="65">
                  <c:v>145.5789473684211</c:v>
                </c:pt>
                <c:pt idx="66">
                  <c:v>145.5789473684211</c:v>
                </c:pt>
                <c:pt idx="67">
                  <c:v>127.10526315789478</c:v>
                </c:pt>
                <c:pt idx="68">
                  <c:v>127.10526315789478</c:v>
                </c:pt>
                <c:pt idx="69">
                  <c:v>108.63157894736847</c:v>
                </c:pt>
                <c:pt idx="70">
                  <c:v>108.63157894736847</c:v>
                </c:pt>
                <c:pt idx="71">
                  <c:v>90.15789473684215</c:v>
                </c:pt>
                <c:pt idx="72">
                  <c:v>90.15789473684215</c:v>
                </c:pt>
                <c:pt idx="73">
                  <c:v>71.68421052631584</c:v>
                </c:pt>
                <c:pt idx="74">
                  <c:v>71.68421052631584</c:v>
                </c:pt>
                <c:pt idx="75">
                  <c:v>53.21052631578952</c:v>
                </c:pt>
                <c:pt idx="76">
                  <c:v>53.21052631578952</c:v>
                </c:pt>
                <c:pt idx="77">
                  <c:v>34.73684210526321</c:v>
                </c:pt>
                <c:pt idx="78">
                  <c:v>34.73684210526321</c:v>
                </c:pt>
                <c:pt idx="79">
                  <c:v>16.263157894736892</c:v>
                </c:pt>
                <c:pt idx="80">
                  <c:v>16.263157894736892</c:v>
                </c:pt>
                <c:pt idx="81">
                  <c:v>-2.210526315789423</c:v>
                </c:pt>
                <c:pt idx="82">
                  <c:v>-2.210526315789423</c:v>
                </c:pt>
                <c:pt idx="83">
                  <c:v>-20.684210526315738</c:v>
                </c:pt>
                <c:pt idx="84">
                  <c:v>-20.684210526315738</c:v>
                </c:pt>
                <c:pt idx="85">
                  <c:v>-39.15789473684205</c:v>
                </c:pt>
                <c:pt idx="86">
                  <c:v>-39.15789473684205</c:v>
                </c:pt>
                <c:pt idx="87">
                  <c:v>-57.63157894736837</c:v>
                </c:pt>
                <c:pt idx="88">
                  <c:v>-57.63157894736837</c:v>
                </c:pt>
                <c:pt idx="89">
                  <c:v>-76.10526315789468</c:v>
                </c:pt>
                <c:pt idx="90">
                  <c:v>-76.10526315789468</c:v>
                </c:pt>
                <c:pt idx="91">
                  <c:v>-94.578947368421</c:v>
                </c:pt>
                <c:pt idx="92">
                  <c:v>-94.578947368421</c:v>
                </c:pt>
                <c:pt idx="93">
                  <c:v>-113.05263157894731</c:v>
                </c:pt>
                <c:pt idx="94">
                  <c:v>-113.05263157894731</c:v>
                </c:pt>
                <c:pt idx="95">
                  <c:v>-131.52631578947364</c:v>
                </c:pt>
                <c:pt idx="96">
                  <c:v>-131.52631578947364</c:v>
                </c:pt>
                <c:pt idx="97">
                  <c:v>-149.99999999999994</c:v>
                </c:pt>
                <c:pt idx="98">
                  <c:v>-149.99999999999994</c:v>
                </c:pt>
                <c:pt idx="99">
                  <c:v>-149.99999999999994</c:v>
                </c:pt>
                <c:pt idx="100">
                  <c:v>-150</c:v>
                </c:pt>
                <c:pt idx="101">
                  <c:v>201</c:v>
                </c:pt>
                <c:pt idx="102">
                  <c:v>201</c:v>
                </c:pt>
                <c:pt idx="103">
                  <c:v>150.85714285714286</c:v>
                </c:pt>
                <c:pt idx="104">
                  <c:v>150.85714285714286</c:v>
                </c:pt>
                <c:pt idx="105">
                  <c:v>100.71428571428572</c:v>
                </c:pt>
                <c:pt idx="106">
                  <c:v>100.71428571428572</c:v>
                </c:pt>
                <c:pt idx="107">
                  <c:v>50.57142857142858</c:v>
                </c:pt>
                <c:pt idx="108">
                  <c:v>50.57142857142858</c:v>
                </c:pt>
                <c:pt idx="109">
                  <c:v>0.4285714285714306</c:v>
                </c:pt>
                <c:pt idx="110">
                  <c:v>0.4285714285714306</c:v>
                </c:pt>
                <c:pt idx="111">
                  <c:v>-49.714285714285715</c:v>
                </c:pt>
                <c:pt idx="112">
                  <c:v>-49.714285714285715</c:v>
                </c:pt>
                <c:pt idx="113">
                  <c:v>-99.85714285714286</c:v>
                </c:pt>
                <c:pt idx="114">
                  <c:v>-99.85714285714286</c:v>
                </c:pt>
                <c:pt idx="115">
                  <c:v>-150</c:v>
                </c:pt>
                <c:pt idx="116">
                  <c:v>-150</c:v>
                </c:pt>
                <c:pt idx="117">
                  <c:v>-99.85714285714286</c:v>
                </c:pt>
                <c:pt idx="118">
                  <c:v>-99.85714285714286</c:v>
                </c:pt>
                <c:pt idx="119">
                  <c:v>-49.714285714285715</c:v>
                </c:pt>
                <c:pt idx="120">
                  <c:v>-49.714285714285715</c:v>
                </c:pt>
                <c:pt idx="121">
                  <c:v>0.4285714285714306</c:v>
                </c:pt>
                <c:pt idx="122">
                  <c:v>0.4285714285714306</c:v>
                </c:pt>
                <c:pt idx="123">
                  <c:v>50.57142857142858</c:v>
                </c:pt>
                <c:pt idx="124">
                  <c:v>50.57142857142858</c:v>
                </c:pt>
                <c:pt idx="125">
                  <c:v>100.71428571428572</c:v>
                </c:pt>
                <c:pt idx="126">
                  <c:v>100.71428571428572</c:v>
                </c:pt>
                <c:pt idx="127">
                  <c:v>150.85714285714286</c:v>
                </c:pt>
                <c:pt idx="128">
                  <c:v>150.85714285714286</c:v>
                </c:pt>
                <c:pt idx="129">
                  <c:v>201</c:v>
                </c:pt>
                <c:pt idx="130">
                  <c:v>201</c:v>
                </c:pt>
                <c:pt idx="131">
                  <c:v>-150</c:v>
                </c:pt>
                <c:pt idx="132">
                  <c:v>-150</c:v>
                </c:pt>
                <c:pt idx="133">
                  <c:v>201</c:v>
                </c:pt>
                <c:pt idx="134">
                  <c:v>201</c:v>
                </c:pt>
                <c:pt idx="135">
                  <c:v>0</c:v>
                </c:pt>
                <c:pt idx="136">
                  <c:v>0</c:v>
                </c:pt>
              </c:numCache>
            </c:numRef>
          </c:xVal>
          <c:yVal>
            <c:numRef>
              <c:f>Piirto!$M$4:$M$140</c:f>
              <c:numCach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300</c:v>
                </c:pt>
                <c:pt idx="48">
                  <c:v>300</c:v>
                </c:pt>
                <c:pt idx="49">
                  <c:v>300</c:v>
                </c:pt>
                <c:pt idx="50">
                  <c:v>300</c:v>
                </c:pt>
                <c:pt idx="51">
                  <c:v>300</c:v>
                </c:pt>
                <c:pt idx="52">
                  <c:v>300</c:v>
                </c:pt>
                <c:pt idx="53">
                  <c:v>300</c:v>
                </c:pt>
                <c:pt idx="54">
                  <c:v>300</c:v>
                </c:pt>
                <c:pt idx="55">
                  <c:v>300</c:v>
                </c:pt>
                <c:pt idx="56">
                  <c:v>300</c:v>
                </c:pt>
                <c:pt idx="57">
                  <c:v>300</c:v>
                </c:pt>
                <c:pt idx="58">
                  <c:v>318</c:v>
                </c:pt>
                <c:pt idx="59">
                  <c:v>318</c:v>
                </c:pt>
                <c:pt idx="60">
                  <c:v>300</c:v>
                </c:pt>
                <c:pt idx="61">
                  <c:v>318</c:v>
                </c:pt>
                <c:pt idx="62">
                  <c:v>300</c:v>
                </c:pt>
                <c:pt idx="63">
                  <c:v>318</c:v>
                </c:pt>
                <c:pt idx="64">
                  <c:v>300</c:v>
                </c:pt>
                <c:pt idx="65">
                  <c:v>318</c:v>
                </c:pt>
                <c:pt idx="66">
                  <c:v>300</c:v>
                </c:pt>
                <c:pt idx="67">
                  <c:v>318</c:v>
                </c:pt>
                <c:pt idx="68">
                  <c:v>300</c:v>
                </c:pt>
                <c:pt idx="69">
                  <c:v>318</c:v>
                </c:pt>
                <c:pt idx="70">
                  <c:v>300</c:v>
                </c:pt>
                <c:pt idx="71">
                  <c:v>318</c:v>
                </c:pt>
                <c:pt idx="72">
                  <c:v>300</c:v>
                </c:pt>
                <c:pt idx="73">
                  <c:v>318</c:v>
                </c:pt>
                <c:pt idx="74">
                  <c:v>300</c:v>
                </c:pt>
                <c:pt idx="75">
                  <c:v>318</c:v>
                </c:pt>
                <c:pt idx="76">
                  <c:v>300</c:v>
                </c:pt>
                <c:pt idx="77">
                  <c:v>318</c:v>
                </c:pt>
                <c:pt idx="78">
                  <c:v>300</c:v>
                </c:pt>
                <c:pt idx="79">
                  <c:v>318</c:v>
                </c:pt>
                <c:pt idx="80">
                  <c:v>300</c:v>
                </c:pt>
                <c:pt idx="81">
                  <c:v>318</c:v>
                </c:pt>
                <c:pt idx="82">
                  <c:v>300</c:v>
                </c:pt>
                <c:pt idx="83">
                  <c:v>318</c:v>
                </c:pt>
                <c:pt idx="84">
                  <c:v>300</c:v>
                </c:pt>
                <c:pt idx="85">
                  <c:v>318</c:v>
                </c:pt>
                <c:pt idx="86">
                  <c:v>300</c:v>
                </c:pt>
                <c:pt idx="87">
                  <c:v>318</c:v>
                </c:pt>
                <c:pt idx="88">
                  <c:v>300</c:v>
                </c:pt>
                <c:pt idx="89">
                  <c:v>318</c:v>
                </c:pt>
                <c:pt idx="90">
                  <c:v>300</c:v>
                </c:pt>
                <c:pt idx="91">
                  <c:v>318</c:v>
                </c:pt>
                <c:pt idx="92">
                  <c:v>300</c:v>
                </c:pt>
                <c:pt idx="93">
                  <c:v>318</c:v>
                </c:pt>
                <c:pt idx="94">
                  <c:v>300</c:v>
                </c:pt>
                <c:pt idx="95">
                  <c:v>318</c:v>
                </c:pt>
                <c:pt idx="96">
                  <c:v>300</c:v>
                </c:pt>
                <c:pt idx="97">
                  <c:v>318</c:v>
                </c:pt>
                <c:pt idx="98">
                  <c:v>300</c:v>
                </c:pt>
                <c:pt idx="99">
                  <c:v>318</c:v>
                </c:pt>
                <c:pt idx="100">
                  <c:v>378</c:v>
                </c:pt>
                <c:pt idx="101">
                  <c:v>378</c:v>
                </c:pt>
                <c:pt idx="102">
                  <c:v>318</c:v>
                </c:pt>
                <c:pt idx="103">
                  <c:v>378</c:v>
                </c:pt>
                <c:pt idx="104">
                  <c:v>318</c:v>
                </c:pt>
                <c:pt idx="105">
                  <c:v>378</c:v>
                </c:pt>
                <c:pt idx="106">
                  <c:v>318</c:v>
                </c:pt>
                <c:pt idx="107">
                  <c:v>378</c:v>
                </c:pt>
                <c:pt idx="108">
                  <c:v>318</c:v>
                </c:pt>
                <c:pt idx="109">
                  <c:v>378</c:v>
                </c:pt>
                <c:pt idx="110">
                  <c:v>318</c:v>
                </c:pt>
                <c:pt idx="111">
                  <c:v>378</c:v>
                </c:pt>
                <c:pt idx="112">
                  <c:v>318</c:v>
                </c:pt>
                <c:pt idx="113">
                  <c:v>378</c:v>
                </c:pt>
                <c:pt idx="114">
                  <c:v>318</c:v>
                </c:pt>
                <c:pt idx="115">
                  <c:v>378</c:v>
                </c:pt>
                <c:pt idx="116">
                  <c:v>318</c:v>
                </c:pt>
                <c:pt idx="117">
                  <c:v>378</c:v>
                </c:pt>
                <c:pt idx="118">
                  <c:v>318</c:v>
                </c:pt>
                <c:pt idx="119">
                  <c:v>378</c:v>
                </c:pt>
                <c:pt idx="120">
                  <c:v>318</c:v>
                </c:pt>
                <c:pt idx="121">
                  <c:v>378</c:v>
                </c:pt>
                <c:pt idx="122">
                  <c:v>318</c:v>
                </c:pt>
                <c:pt idx="123">
                  <c:v>378</c:v>
                </c:pt>
                <c:pt idx="124">
                  <c:v>318</c:v>
                </c:pt>
                <c:pt idx="125">
                  <c:v>378</c:v>
                </c:pt>
                <c:pt idx="126">
                  <c:v>318</c:v>
                </c:pt>
                <c:pt idx="127">
                  <c:v>378</c:v>
                </c:pt>
                <c:pt idx="128">
                  <c:v>318</c:v>
                </c:pt>
                <c:pt idx="129">
                  <c:v>378</c:v>
                </c:pt>
                <c:pt idx="130">
                  <c:v>318</c:v>
                </c:pt>
                <c:pt idx="131">
                  <c:v>0</c:v>
                </c:pt>
                <c:pt idx="132">
                  <c:v>378</c:v>
                </c:pt>
                <c:pt idx="133">
                  <c:v>378</c:v>
                </c:pt>
                <c:pt idx="134">
                  <c:v>0</c:v>
                </c:pt>
                <c:pt idx="135">
                  <c:v>0</c:v>
                </c:pt>
                <c:pt idx="136">
                  <c:v>0</c:v>
                </c:pt>
              </c:numCache>
            </c:numRef>
          </c:yVal>
          <c:smooth val="0"/>
        </c:ser>
        <c:axId val="18959434"/>
        <c:axId val="36417179"/>
      </c:scatterChart>
      <c:valAx>
        <c:axId val="18959434"/>
        <c:scaling>
          <c:orientation val="minMax"/>
          <c:max val="250"/>
          <c:min val="-200"/>
        </c:scaling>
        <c:axPos val="b"/>
        <c:delete val="1"/>
        <c:majorTickMark val="out"/>
        <c:minorTickMark val="none"/>
        <c:tickLblPos val="nextTo"/>
        <c:crossAx val="36417179"/>
        <c:crosses val="autoZero"/>
        <c:crossBetween val="midCat"/>
        <c:dispUnits/>
        <c:majorUnit val="250"/>
        <c:minorUnit val="250"/>
      </c:valAx>
      <c:valAx>
        <c:axId val="36417179"/>
        <c:scaling>
          <c:orientation val="minMax"/>
          <c:max val="700"/>
          <c:min val="-20"/>
        </c:scaling>
        <c:axPos val="l"/>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8959434"/>
        <c:crossesAt val="-200"/>
        <c:crossBetween val="midCat"/>
        <c:dispUnits/>
        <c:majorUnit val="20"/>
        <c:minorUnit val="20"/>
      </c:valAx>
      <c:spPr>
        <a:noFill/>
        <a:ln>
          <a:no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12</xdr:col>
      <xdr:colOff>0</xdr:colOff>
      <xdr:row>59</xdr:row>
      <xdr:rowOff>0</xdr:rowOff>
    </xdr:to>
    <xdr:sp>
      <xdr:nvSpPr>
        <xdr:cNvPr id="1" name="Text Box 16"/>
        <xdr:cNvSpPr txBox="1">
          <a:spLocks noChangeArrowheads="1"/>
        </xdr:cNvSpPr>
      </xdr:nvSpPr>
      <xdr:spPr>
        <a:xfrm>
          <a:off x="628650" y="8753475"/>
          <a:ext cx="5238750" cy="48577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Ohjelman käyttäjän vastuu</a:t>
          </a:r>
          <a:r>
            <a:rPr lang="en-US" cap="none" sz="8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Ohjelman tekijä ei vastaa ohjelman mahdollisista virheistä ja niistä aiheutuneista vahingoista ohjelman käyttäjälle ja mahdolliselle 
</a:t>
          </a:r>
          <a:r>
            <a:rPr lang="en-US" cap="none" sz="700" b="0" i="0" u="none" baseline="0">
              <a:solidFill>
                <a:srgbClr val="000000"/>
              </a:solidFill>
              <a:latin typeface="Arial"/>
              <a:ea typeface="Arial"/>
              <a:cs typeface="Arial"/>
            </a:rPr>
            <a:t>kolmannelle osapuolelle. Ohjelman käyttäjä käyttää ohjelmaa omalla vastuulla ja on itse vastuussa  tulosten oikeellisuudesta. </a:t>
          </a:r>
        </a:p>
      </xdr:txBody>
    </xdr:sp>
    <xdr:clientData/>
  </xdr:twoCellAnchor>
  <xdr:twoCellAnchor editAs="oneCell">
    <xdr:from>
      <xdr:col>3</xdr:col>
      <xdr:colOff>190500</xdr:colOff>
      <xdr:row>25</xdr:row>
      <xdr:rowOff>95250</xdr:rowOff>
    </xdr:from>
    <xdr:to>
      <xdr:col>10</xdr:col>
      <xdr:colOff>457200</xdr:colOff>
      <xdr:row>38</xdr:row>
      <xdr:rowOff>28575</xdr:rowOff>
    </xdr:to>
    <xdr:pic>
      <xdr:nvPicPr>
        <xdr:cNvPr id="2" name="Picture 31"/>
        <xdr:cNvPicPr preferRelativeResize="1">
          <a:picLocks noChangeAspect="1"/>
        </xdr:cNvPicPr>
      </xdr:nvPicPr>
      <xdr:blipFill>
        <a:blip r:embed="rId1"/>
        <a:stretch>
          <a:fillRect/>
        </a:stretch>
      </xdr:blipFill>
      <xdr:spPr>
        <a:xfrm>
          <a:off x="819150" y="3829050"/>
          <a:ext cx="4667250"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35</xdr:row>
      <xdr:rowOff>47625</xdr:rowOff>
    </xdr:from>
    <xdr:to>
      <xdr:col>10</xdr:col>
      <xdr:colOff>600075</xdr:colOff>
      <xdr:row>48</xdr:row>
      <xdr:rowOff>28575</xdr:rowOff>
    </xdr:to>
    <xdr:pic>
      <xdr:nvPicPr>
        <xdr:cNvPr id="1" name="Picture 180"/>
        <xdr:cNvPicPr preferRelativeResize="1">
          <a:picLocks noChangeAspect="1"/>
        </xdr:cNvPicPr>
      </xdr:nvPicPr>
      <xdr:blipFill>
        <a:blip r:embed="rId1"/>
        <a:stretch>
          <a:fillRect/>
        </a:stretch>
      </xdr:blipFill>
      <xdr:spPr>
        <a:xfrm>
          <a:off x="676275" y="5400675"/>
          <a:ext cx="4953000" cy="2085975"/>
        </a:xfrm>
        <a:prstGeom prst="rect">
          <a:avLst/>
        </a:prstGeom>
        <a:noFill/>
        <a:ln w="9525" cmpd="sng">
          <a:noFill/>
        </a:ln>
      </xdr:spPr>
    </xdr:pic>
    <xdr:clientData/>
  </xdr:twoCellAnchor>
  <xdr:twoCellAnchor editAs="oneCell">
    <xdr:from>
      <xdr:col>29</xdr:col>
      <xdr:colOff>266700</xdr:colOff>
      <xdr:row>8</xdr:row>
      <xdr:rowOff>114300</xdr:rowOff>
    </xdr:from>
    <xdr:to>
      <xdr:col>36</xdr:col>
      <xdr:colOff>428625</xdr:colOff>
      <xdr:row>30</xdr:row>
      <xdr:rowOff>0</xdr:rowOff>
    </xdr:to>
    <xdr:pic>
      <xdr:nvPicPr>
        <xdr:cNvPr id="2" name="Picture 178" descr="Poikittaisjäykiste_1"/>
        <xdr:cNvPicPr preferRelativeResize="1">
          <a:picLocks noChangeAspect="1"/>
        </xdr:cNvPicPr>
      </xdr:nvPicPr>
      <xdr:blipFill>
        <a:blip r:embed="rId2"/>
        <a:stretch>
          <a:fillRect/>
        </a:stretch>
      </xdr:blipFill>
      <xdr:spPr>
        <a:xfrm>
          <a:off x="13049250" y="1123950"/>
          <a:ext cx="4562475" cy="3419475"/>
        </a:xfrm>
        <a:prstGeom prst="rect">
          <a:avLst/>
        </a:prstGeom>
        <a:noFill/>
        <a:ln w="9525" cmpd="sng">
          <a:noFill/>
        </a:ln>
      </xdr:spPr>
    </xdr:pic>
    <xdr:clientData/>
  </xdr:twoCellAnchor>
  <xdr:twoCellAnchor editAs="oneCell">
    <xdr:from>
      <xdr:col>16</xdr:col>
      <xdr:colOff>257175</xdr:colOff>
      <xdr:row>9</xdr:row>
      <xdr:rowOff>28575</xdr:rowOff>
    </xdr:from>
    <xdr:to>
      <xdr:col>23</xdr:col>
      <xdr:colOff>419100</xdr:colOff>
      <xdr:row>30</xdr:row>
      <xdr:rowOff>85725</xdr:rowOff>
    </xdr:to>
    <xdr:pic>
      <xdr:nvPicPr>
        <xdr:cNvPr id="3" name="Picture 177" descr="Poikittaisjäykiste_2"/>
        <xdr:cNvPicPr preferRelativeResize="1">
          <a:picLocks noChangeAspect="1"/>
        </xdr:cNvPicPr>
      </xdr:nvPicPr>
      <xdr:blipFill>
        <a:blip r:embed="rId3"/>
        <a:stretch>
          <a:fillRect/>
        </a:stretch>
      </xdr:blipFill>
      <xdr:spPr>
        <a:xfrm>
          <a:off x="6962775" y="1209675"/>
          <a:ext cx="4562475" cy="3419475"/>
        </a:xfrm>
        <a:prstGeom prst="rect">
          <a:avLst/>
        </a:prstGeom>
        <a:noFill/>
        <a:ln w="9525" cmpd="sng">
          <a:noFill/>
        </a:ln>
      </xdr:spPr>
    </xdr:pic>
    <xdr:clientData/>
  </xdr:twoCellAnchor>
  <xdr:twoCellAnchor editAs="oneCell">
    <xdr:from>
      <xdr:col>16</xdr:col>
      <xdr:colOff>257175</xdr:colOff>
      <xdr:row>28</xdr:row>
      <xdr:rowOff>142875</xdr:rowOff>
    </xdr:from>
    <xdr:to>
      <xdr:col>23</xdr:col>
      <xdr:colOff>419100</xdr:colOff>
      <xdr:row>50</xdr:row>
      <xdr:rowOff>0</xdr:rowOff>
    </xdr:to>
    <xdr:pic>
      <xdr:nvPicPr>
        <xdr:cNvPr id="4" name="Picture 176" descr="Poikittaisjäykiste_3"/>
        <xdr:cNvPicPr preferRelativeResize="1">
          <a:picLocks noChangeAspect="1"/>
        </xdr:cNvPicPr>
      </xdr:nvPicPr>
      <xdr:blipFill>
        <a:blip r:embed="rId4"/>
        <a:stretch>
          <a:fillRect/>
        </a:stretch>
      </xdr:blipFill>
      <xdr:spPr>
        <a:xfrm>
          <a:off x="6962775" y="4362450"/>
          <a:ext cx="4562475" cy="3419475"/>
        </a:xfrm>
        <a:prstGeom prst="rect">
          <a:avLst/>
        </a:prstGeom>
        <a:noFill/>
        <a:ln w="9525" cmpd="sng">
          <a:noFill/>
        </a:ln>
      </xdr:spPr>
    </xdr:pic>
    <xdr:clientData/>
  </xdr:twoCellAnchor>
  <xdr:twoCellAnchor editAs="oneCell">
    <xdr:from>
      <xdr:col>29</xdr:col>
      <xdr:colOff>266700</xdr:colOff>
      <xdr:row>28</xdr:row>
      <xdr:rowOff>57150</xdr:rowOff>
    </xdr:from>
    <xdr:to>
      <xdr:col>36</xdr:col>
      <xdr:colOff>428625</xdr:colOff>
      <xdr:row>49</xdr:row>
      <xdr:rowOff>76200</xdr:rowOff>
    </xdr:to>
    <xdr:pic>
      <xdr:nvPicPr>
        <xdr:cNvPr id="5" name="Picture 175" descr="Poikittaisjäykiste_4"/>
        <xdr:cNvPicPr preferRelativeResize="1">
          <a:picLocks noChangeAspect="1"/>
        </xdr:cNvPicPr>
      </xdr:nvPicPr>
      <xdr:blipFill>
        <a:blip r:embed="rId5"/>
        <a:stretch>
          <a:fillRect/>
        </a:stretch>
      </xdr:blipFill>
      <xdr:spPr>
        <a:xfrm>
          <a:off x="13049250" y="4276725"/>
          <a:ext cx="4562475" cy="3419475"/>
        </a:xfrm>
        <a:prstGeom prst="rect">
          <a:avLst/>
        </a:prstGeom>
        <a:noFill/>
        <a:ln w="9525" cmpd="sng">
          <a:noFill/>
        </a:ln>
      </xdr:spPr>
    </xdr:pic>
    <xdr:clientData/>
  </xdr:twoCellAnchor>
  <xdr:twoCellAnchor>
    <xdr:from>
      <xdr:col>3</xdr:col>
      <xdr:colOff>0</xdr:colOff>
      <xdr:row>56</xdr:row>
      <xdr:rowOff>0</xdr:rowOff>
    </xdr:from>
    <xdr:to>
      <xdr:col>12</xdr:col>
      <xdr:colOff>0</xdr:colOff>
      <xdr:row>59</xdr:row>
      <xdr:rowOff>0</xdr:rowOff>
    </xdr:to>
    <xdr:sp>
      <xdr:nvSpPr>
        <xdr:cNvPr id="6" name="Text Box 29"/>
        <xdr:cNvSpPr txBox="1">
          <a:spLocks noChangeArrowheads="1"/>
        </xdr:cNvSpPr>
      </xdr:nvSpPr>
      <xdr:spPr>
        <a:xfrm>
          <a:off x="628650" y="8753475"/>
          <a:ext cx="5238750" cy="48577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Ohjelman käyttäjän vastuu</a:t>
          </a:r>
          <a:r>
            <a:rPr lang="en-US" cap="none" sz="8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Ohjelman tekijä ei vastaa ohjelman mahdollisista virheistä ja niistä aiheutuneista vahingoista ohjelman käyttäjälle ja mahdolliselle 
</a:t>
          </a:r>
          <a:r>
            <a:rPr lang="en-US" cap="none" sz="700" b="0" i="0" u="none" baseline="0">
              <a:solidFill>
                <a:srgbClr val="000000"/>
              </a:solidFill>
              <a:latin typeface="Arial"/>
              <a:ea typeface="Arial"/>
              <a:cs typeface="Arial"/>
            </a:rPr>
            <a:t>kolmannelle osapuolelle. Ohjelman käyttäjä käyttää ohjelmaa omalla vastuulla ja on itse vastuussa  tulosten oikeellisuudesta. </a:t>
          </a:r>
        </a:p>
      </xdr:txBody>
    </xdr:sp>
    <xdr:clientData/>
  </xdr:twoCellAnchor>
  <xdr:twoCellAnchor>
    <xdr:from>
      <xdr:col>3</xdr:col>
      <xdr:colOff>0</xdr:colOff>
      <xdr:row>8</xdr:row>
      <xdr:rowOff>0</xdr:rowOff>
    </xdr:from>
    <xdr:to>
      <xdr:col>11</xdr:col>
      <xdr:colOff>152400</xdr:colOff>
      <xdr:row>28</xdr:row>
      <xdr:rowOff>19050</xdr:rowOff>
    </xdr:to>
    <xdr:sp>
      <xdr:nvSpPr>
        <xdr:cNvPr id="7" name="Text Box 30"/>
        <xdr:cNvSpPr txBox="1">
          <a:spLocks noChangeArrowheads="1"/>
        </xdr:cNvSpPr>
      </xdr:nvSpPr>
      <xdr:spPr>
        <a:xfrm>
          <a:off x="628650" y="1009650"/>
          <a:ext cx="5181600" cy="3228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Tällä ohjelmalla voidaan tehdä palkkirakenteisen puuvälipohjan värähtelymitoitus. Värähtelymitoituksessa 
tarkastellaan kävelyn aiheuttamaa värähtelyä ohjeen RIL 205-1-2017 mukaan, kun välipohjapalkit ovat 
1-aukkoisia. Ohjelmalla voidaan sellaisenaan tarkastella myös huoneiston sisäisiä jatkuvia välipohjalaattoja tarkastelemalla välipohjaa aukoittain niiden jänneväleillä kuten 1-aukkoisia laattoja. Tämä ohjelmaversio ei sovellu ulokkeiden värähtelymitoitukseen. Välipohjan jäykkyys eri suunnissa määräytyy seuraavassa esitetyillä tavoilla.
</a:t>
          </a:r>
          <a:r>
            <a:rPr lang="en-US" cap="none" sz="800" b="1" i="0" u="none" baseline="0">
              <a:solidFill>
                <a:srgbClr val="000000"/>
              </a:solidFill>
              <a:latin typeface="Arial"/>
              <a:ea typeface="Arial"/>
              <a:cs typeface="Arial"/>
            </a:rPr>
            <a:t>Jäykkyys palkin jännevälin suunnassa (suunta L)</a:t>
          </a:r>
          <a:r>
            <a:rPr lang="en-US" cap="none" sz="800" b="0" i="0" u="none" baseline="0">
              <a:solidFill>
                <a:srgbClr val="000000"/>
              </a:solidFill>
              <a:latin typeface="Arial"/>
              <a:ea typeface="Arial"/>
              <a:cs typeface="Arial"/>
            </a:rPr>
            <a:t>
Jäykkyys määräytyy pelkästään palkkien perusteella tai jäykkyyteen voidaan huomioida nauloilla tai ruuveilla 
tai liimalla palkkeihin kiinnitetyn kansilevytyksen liittorakennevaikutus. Käyttörajatilamitoituksessa voidaan 
huomioida myös sellaiset liimaliitokset, jotka valmistetaan ilman ulkoista laadunvalvontaa (ks. RIL 205-1-2017).
Liimaliitos voi olla "Tehdasliimaus" tai "Työmaaliimaus". Nämä eroavat toisistaan siten, että "Työmaaliimaus" 
on jäykkyydeltään alhaisempi. Pintalaatan jäykkyys (valulattia) huomioidaan lisäämällä se välipohjan palkiston 
muodostamaan jäykkyyteen. 
</a:t>
          </a:r>
          <a:r>
            <a:rPr lang="en-US" cap="none" sz="800" b="1" i="0" u="none" baseline="0">
              <a:solidFill>
                <a:srgbClr val="000000"/>
              </a:solidFill>
              <a:latin typeface="Arial"/>
              <a:ea typeface="Arial"/>
              <a:cs typeface="Arial"/>
            </a:rPr>
            <a:t>Jäykkyys palkin jänneväliä vastaan kohtisuorassa suunnassa (suunta B)</a:t>
          </a:r>
          <a:r>
            <a:rPr lang="en-US" cap="none" sz="800" b="0" i="0" u="none" baseline="0">
              <a:solidFill>
                <a:srgbClr val="000000"/>
              </a:solidFill>
              <a:latin typeface="Arial"/>
              <a:ea typeface="Arial"/>
              <a:cs typeface="Arial"/>
            </a:rPr>
            <a:t>
Jäykkyys määräytyy pintalaatan, kansirakenteen ja poikittaisjäykisteiden yhteenlasketusta jäykkyydestä.
Jäykkyyteen huomioitavat tekijät ovat valinnaisia. Poikittaisjäykisteen rakenne on viereisten kuvien kaltainen. 
Palkki- ja levykirjastoon on koottu valmiiksi yleisesti käytettyjä tuotteita. Suunnittelija voi halutessaan lisätä tuotteita palkki- ja levykirjastoon.
</a:t>
          </a:r>
        </a:p>
      </xdr:txBody>
    </xdr:sp>
    <xdr:clientData/>
  </xdr:twoCellAnchor>
  <xdr:twoCellAnchor>
    <xdr:from>
      <xdr:col>23</xdr:col>
      <xdr:colOff>209550</xdr:colOff>
      <xdr:row>23</xdr:row>
      <xdr:rowOff>95250</xdr:rowOff>
    </xdr:from>
    <xdr:to>
      <xdr:col>23</xdr:col>
      <xdr:colOff>209550</xdr:colOff>
      <xdr:row>25</xdr:row>
      <xdr:rowOff>28575</xdr:rowOff>
    </xdr:to>
    <xdr:sp>
      <xdr:nvSpPr>
        <xdr:cNvPr id="8" name="Line 38"/>
        <xdr:cNvSpPr>
          <a:spLocks/>
        </xdr:cNvSpPr>
      </xdr:nvSpPr>
      <xdr:spPr>
        <a:xfrm flipH="1">
          <a:off x="11315700" y="35052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56</xdr:row>
      <xdr:rowOff>0</xdr:rowOff>
    </xdr:from>
    <xdr:to>
      <xdr:col>25</xdr:col>
      <xdr:colOff>0</xdr:colOff>
      <xdr:row>59</xdr:row>
      <xdr:rowOff>0</xdr:rowOff>
    </xdr:to>
    <xdr:sp>
      <xdr:nvSpPr>
        <xdr:cNvPr id="9" name="Text Box 47"/>
        <xdr:cNvSpPr txBox="1">
          <a:spLocks noChangeArrowheads="1"/>
        </xdr:cNvSpPr>
      </xdr:nvSpPr>
      <xdr:spPr>
        <a:xfrm>
          <a:off x="6705600" y="8753475"/>
          <a:ext cx="5238750" cy="48577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Ohjelman käyttäjän vastuu</a:t>
          </a:r>
          <a:r>
            <a:rPr lang="en-US" cap="none" sz="8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Ohjelman tekijä ei vastaa ohjelman mahdollisista virheistä ja niistä aiheutuneista vahingoista ohjelman käyttäjälle ja mahdolliselle 
</a:t>
          </a:r>
          <a:r>
            <a:rPr lang="en-US" cap="none" sz="700" b="0" i="0" u="none" baseline="0">
              <a:solidFill>
                <a:srgbClr val="000000"/>
              </a:solidFill>
              <a:latin typeface="Arial"/>
              <a:ea typeface="Arial"/>
              <a:cs typeface="Arial"/>
            </a:rPr>
            <a:t>kolmannelle osapuolelle. Ohjelman käyttäjä käyttää ohjelmaa omalla vastuulla ja on itse vastuussa  tulosten oikeellisuudesta. </a:t>
          </a:r>
        </a:p>
      </xdr:txBody>
    </xdr:sp>
    <xdr:clientData/>
  </xdr:twoCellAnchor>
  <xdr:twoCellAnchor>
    <xdr:from>
      <xdr:col>16</xdr:col>
      <xdr:colOff>38100</xdr:colOff>
      <xdr:row>8</xdr:row>
      <xdr:rowOff>38100</xdr:rowOff>
    </xdr:from>
    <xdr:to>
      <xdr:col>23</xdr:col>
      <xdr:colOff>419100</xdr:colOff>
      <xdr:row>9</xdr:row>
      <xdr:rowOff>104775</xdr:rowOff>
    </xdr:to>
    <xdr:sp>
      <xdr:nvSpPr>
        <xdr:cNvPr id="10" name="Text Box 50"/>
        <xdr:cNvSpPr txBox="1">
          <a:spLocks noChangeArrowheads="1"/>
        </xdr:cNvSpPr>
      </xdr:nvSpPr>
      <xdr:spPr>
        <a:xfrm>
          <a:off x="6743700" y="1047750"/>
          <a:ext cx="4781550" cy="23812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2.0 Poikittaisjäykiste, jossa ylälaippana välipohjan kansilevy </a:t>
          </a:r>
        </a:p>
      </xdr:txBody>
    </xdr:sp>
    <xdr:clientData/>
  </xdr:twoCellAnchor>
  <xdr:twoCellAnchor>
    <xdr:from>
      <xdr:col>16</xdr:col>
      <xdr:colOff>38100</xdr:colOff>
      <xdr:row>47</xdr:row>
      <xdr:rowOff>133350</xdr:rowOff>
    </xdr:from>
    <xdr:to>
      <xdr:col>20</xdr:col>
      <xdr:colOff>552450</xdr:colOff>
      <xdr:row>55</xdr:row>
      <xdr:rowOff>19050</xdr:rowOff>
    </xdr:to>
    <xdr:sp>
      <xdr:nvSpPr>
        <xdr:cNvPr id="11" name="Text Box 58"/>
        <xdr:cNvSpPr txBox="1">
          <a:spLocks noChangeArrowheads="1"/>
        </xdr:cNvSpPr>
      </xdr:nvSpPr>
      <xdr:spPr>
        <a:xfrm>
          <a:off x="6743700" y="7429500"/>
          <a:ext cx="3028950" cy="1181100"/>
        </a:xfrm>
        <a:prstGeom prst="rect">
          <a:avLst/>
        </a:prstGeom>
        <a:noFill/>
        <a:ln w="9525" cmpd="sng">
          <a:noFill/>
        </a:ln>
      </xdr:spPr>
      <xdr:txBody>
        <a:bodyPr vertOverflow="clip" wrap="square" lIns="27432" tIns="22860" rIns="0" bIns="0"/>
        <a:p>
          <a:pPr algn="l">
            <a:defRPr/>
          </a:pPr>
          <a:r>
            <a:rPr lang="en-US" cap="none" sz="800" b="1" i="0" u="sng" baseline="0">
              <a:solidFill>
                <a:srgbClr val="000000"/>
              </a:solidFill>
              <a:latin typeface="Arial"/>
              <a:ea typeface="Arial"/>
              <a:cs typeface="Arial"/>
            </a:rPr>
            <a:t>Poikittaisjäykisteen osat
</a:t>
          </a:r>
          <a:r>
            <a:rPr lang="en-US" cap="none" sz="800" b="0" i="0" u="none" baseline="0">
              <a:solidFill>
                <a:srgbClr val="000000"/>
              </a:solidFill>
              <a:latin typeface="Arial"/>
              <a:ea typeface="Arial"/>
              <a:cs typeface="Arial"/>
            </a:rPr>
            <a:t>1 = välikapula, palkkimateriaalia
</a:t>
          </a:r>
          <a:r>
            <a:rPr lang="en-US" cap="none" sz="800" b="0" i="0" u="none" baseline="0">
              <a:solidFill>
                <a:srgbClr val="000000"/>
              </a:solidFill>
              <a:latin typeface="Arial"/>
              <a:ea typeface="Arial"/>
              <a:cs typeface="Arial"/>
            </a:rPr>
            <a:t>2 = alalaippa, C18 20x98 lauta (jatkuva)
</a:t>
          </a:r>
          <a:r>
            <a:rPr lang="en-US" cap="none" sz="800" b="0" i="0" u="none" baseline="0">
              <a:solidFill>
                <a:srgbClr val="000000"/>
              </a:solidFill>
              <a:latin typeface="Arial"/>
              <a:ea typeface="Arial"/>
              <a:cs typeface="Arial"/>
            </a:rPr>
            <a:t>3 = kampanaulat 2,5x60 ≤ k100 alalaipan läpi välikapuloihin
</a:t>
          </a:r>
          <a:r>
            <a:rPr lang="en-US" cap="none" sz="800" b="0" i="0" u="none" baseline="0">
              <a:solidFill>
                <a:srgbClr val="000000"/>
              </a:solidFill>
              <a:latin typeface="Arial"/>
              <a:ea typeface="Arial"/>
              <a:cs typeface="Arial"/>
            </a:rPr>
            <a:t>4 = ylälaippa, kansilevy 
</a:t>
          </a:r>
          <a:r>
            <a:rPr lang="en-US" cap="none" sz="800" b="0" i="0" u="none" baseline="0">
              <a:solidFill>
                <a:srgbClr val="000000"/>
              </a:solidFill>
              <a:latin typeface="Arial"/>
              <a:ea typeface="Arial"/>
              <a:cs typeface="Arial"/>
            </a:rPr>
            <a:t>5 = kansilevyn liitin ≤ k100 ylälaipan läpi välikapuloihin
</a:t>
          </a:r>
          <a:r>
            <a:rPr lang="en-US" cap="none" sz="800" b="0" i="0" u="none" baseline="0">
              <a:solidFill>
                <a:srgbClr val="000000"/>
              </a:solidFill>
              <a:latin typeface="Arial"/>
              <a:ea typeface="Arial"/>
              <a:cs typeface="Arial"/>
            </a:rPr>
            <a:t>6 = kampanaula 3,1x90 k50 palkin läpi välikapuloihin
</a:t>
          </a:r>
          <a:r>
            <a:rPr lang="en-US" cap="none" sz="800" b="0" i="0" u="none" baseline="0">
              <a:solidFill>
                <a:srgbClr val="000000"/>
              </a:solidFill>
              <a:latin typeface="Arial"/>
              <a:ea typeface="Arial"/>
              <a:cs typeface="Arial"/>
            </a:rPr>
            <a:t>7 = täyskierteinen vinoruuvi 6,0x120 ala- ja ylälaippaan</a:t>
          </a:r>
        </a:p>
      </xdr:txBody>
    </xdr:sp>
    <xdr:clientData/>
  </xdr:twoCellAnchor>
  <xdr:twoCellAnchor>
    <xdr:from>
      <xdr:col>22</xdr:col>
      <xdr:colOff>9525</xdr:colOff>
      <xdr:row>18</xdr:row>
      <xdr:rowOff>152400</xdr:rowOff>
    </xdr:from>
    <xdr:to>
      <xdr:col>22</xdr:col>
      <xdr:colOff>9525</xdr:colOff>
      <xdr:row>20</xdr:row>
      <xdr:rowOff>85725</xdr:rowOff>
    </xdr:to>
    <xdr:sp>
      <xdr:nvSpPr>
        <xdr:cNvPr id="12" name="Line 63"/>
        <xdr:cNvSpPr>
          <a:spLocks/>
        </xdr:cNvSpPr>
      </xdr:nvSpPr>
      <xdr:spPr>
        <a:xfrm flipH="1">
          <a:off x="10487025" y="2752725"/>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581025</xdr:colOff>
      <xdr:row>18</xdr:row>
      <xdr:rowOff>0</xdr:rowOff>
    </xdr:from>
    <xdr:to>
      <xdr:col>22</xdr:col>
      <xdr:colOff>190500</xdr:colOff>
      <xdr:row>19</xdr:row>
      <xdr:rowOff>19050</xdr:rowOff>
    </xdr:to>
    <xdr:sp>
      <xdr:nvSpPr>
        <xdr:cNvPr id="13" name="Text Box 64"/>
        <xdr:cNvSpPr txBox="1">
          <a:spLocks noChangeArrowheads="1"/>
        </xdr:cNvSpPr>
      </xdr:nvSpPr>
      <xdr:spPr>
        <a:xfrm>
          <a:off x="10429875" y="26003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a:t>
          </a:r>
        </a:p>
      </xdr:txBody>
    </xdr:sp>
    <xdr:clientData/>
  </xdr:twoCellAnchor>
  <xdr:twoCellAnchor>
    <xdr:from>
      <xdr:col>23</xdr:col>
      <xdr:colOff>161925</xdr:colOff>
      <xdr:row>22</xdr:row>
      <xdr:rowOff>114300</xdr:rowOff>
    </xdr:from>
    <xdr:to>
      <xdr:col>23</xdr:col>
      <xdr:colOff>400050</xdr:colOff>
      <xdr:row>23</xdr:row>
      <xdr:rowOff>133350</xdr:rowOff>
    </xdr:to>
    <xdr:sp>
      <xdr:nvSpPr>
        <xdr:cNvPr id="14" name="Text Box 65"/>
        <xdr:cNvSpPr txBox="1">
          <a:spLocks noChangeArrowheads="1"/>
        </xdr:cNvSpPr>
      </xdr:nvSpPr>
      <xdr:spPr>
        <a:xfrm>
          <a:off x="11268075" y="33623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2</a:t>
          </a:r>
        </a:p>
      </xdr:txBody>
    </xdr:sp>
    <xdr:clientData/>
  </xdr:twoCellAnchor>
  <xdr:twoCellAnchor>
    <xdr:from>
      <xdr:col>19</xdr:col>
      <xdr:colOff>76200</xdr:colOff>
      <xdr:row>21</xdr:row>
      <xdr:rowOff>19050</xdr:rowOff>
    </xdr:from>
    <xdr:to>
      <xdr:col>19</xdr:col>
      <xdr:colOff>76200</xdr:colOff>
      <xdr:row>22</xdr:row>
      <xdr:rowOff>114300</xdr:rowOff>
    </xdr:to>
    <xdr:sp>
      <xdr:nvSpPr>
        <xdr:cNvPr id="15" name="Line 66"/>
        <xdr:cNvSpPr>
          <a:spLocks/>
        </xdr:cNvSpPr>
      </xdr:nvSpPr>
      <xdr:spPr>
        <a:xfrm flipH="1">
          <a:off x="8667750" y="3105150"/>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22</xdr:row>
      <xdr:rowOff>123825</xdr:rowOff>
    </xdr:from>
    <xdr:to>
      <xdr:col>19</xdr:col>
      <xdr:colOff>266700</xdr:colOff>
      <xdr:row>23</xdr:row>
      <xdr:rowOff>142875</xdr:rowOff>
    </xdr:to>
    <xdr:sp>
      <xdr:nvSpPr>
        <xdr:cNvPr id="16" name="Text Box 67"/>
        <xdr:cNvSpPr txBox="1">
          <a:spLocks noChangeArrowheads="1"/>
        </xdr:cNvSpPr>
      </xdr:nvSpPr>
      <xdr:spPr>
        <a:xfrm>
          <a:off x="8620125" y="337185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3</a:t>
          </a:r>
        </a:p>
      </xdr:txBody>
    </xdr:sp>
    <xdr:clientData/>
  </xdr:twoCellAnchor>
  <xdr:twoCellAnchor>
    <xdr:from>
      <xdr:col>20</xdr:col>
      <xdr:colOff>104775</xdr:colOff>
      <xdr:row>12</xdr:row>
      <xdr:rowOff>47625</xdr:rowOff>
    </xdr:from>
    <xdr:to>
      <xdr:col>20</xdr:col>
      <xdr:colOff>104775</xdr:colOff>
      <xdr:row>13</xdr:row>
      <xdr:rowOff>142875</xdr:rowOff>
    </xdr:to>
    <xdr:sp>
      <xdr:nvSpPr>
        <xdr:cNvPr id="17" name="Line 71"/>
        <xdr:cNvSpPr>
          <a:spLocks/>
        </xdr:cNvSpPr>
      </xdr:nvSpPr>
      <xdr:spPr>
        <a:xfrm flipH="1">
          <a:off x="9324975" y="16764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11</xdr:row>
      <xdr:rowOff>57150</xdr:rowOff>
    </xdr:from>
    <xdr:to>
      <xdr:col>20</xdr:col>
      <xdr:colOff>285750</xdr:colOff>
      <xdr:row>12</xdr:row>
      <xdr:rowOff>76200</xdr:rowOff>
    </xdr:to>
    <xdr:sp>
      <xdr:nvSpPr>
        <xdr:cNvPr id="18" name="Text Box 72"/>
        <xdr:cNvSpPr txBox="1">
          <a:spLocks noChangeArrowheads="1"/>
        </xdr:cNvSpPr>
      </xdr:nvSpPr>
      <xdr:spPr>
        <a:xfrm>
          <a:off x="9267825" y="15240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4</a:t>
          </a:r>
        </a:p>
      </xdr:txBody>
    </xdr:sp>
    <xdr:clientData/>
  </xdr:twoCellAnchor>
  <xdr:twoCellAnchor>
    <xdr:from>
      <xdr:col>19</xdr:col>
      <xdr:colOff>85725</xdr:colOff>
      <xdr:row>17</xdr:row>
      <xdr:rowOff>38100</xdr:rowOff>
    </xdr:from>
    <xdr:to>
      <xdr:col>19</xdr:col>
      <xdr:colOff>542925</xdr:colOff>
      <xdr:row>17</xdr:row>
      <xdr:rowOff>38100</xdr:rowOff>
    </xdr:to>
    <xdr:sp>
      <xdr:nvSpPr>
        <xdr:cNvPr id="19" name="Line 74"/>
        <xdr:cNvSpPr>
          <a:spLocks/>
        </xdr:cNvSpPr>
      </xdr:nvSpPr>
      <xdr:spPr>
        <a:xfrm flipH="1">
          <a:off x="8677275" y="2476500"/>
          <a:ext cx="457200"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561975</xdr:colOff>
      <xdr:row>16</xdr:row>
      <xdr:rowOff>123825</xdr:rowOff>
    </xdr:from>
    <xdr:to>
      <xdr:col>20</xdr:col>
      <xdr:colOff>171450</xdr:colOff>
      <xdr:row>17</xdr:row>
      <xdr:rowOff>142875</xdr:rowOff>
    </xdr:to>
    <xdr:sp>
      <xdr:nvSpPr>
        <xdr:cNvPr id="20" name="Text Box 75"/>
        <xdr:cNvSpPr txBox="1">
          <a:spLocks noChangeArrowheads="1"/>
        </xdr:cNvSpPr>
      </xdr:nvSpPr>
      <xdr:spPr>
        <a:xfrm>
          <a:off x="9153525" y="24003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5</a:t>
          </a:r>
        </a:p>
      </xdr:txBody>
    </xdr:sp>
    <xdr:clientData/>
  </xdr:twoCellAnchor>
  <xdr:twoCellAnchor>
    <xdr:from>
      <xdr:col>22</xdr:col>
      <xdr:colOff>381000</xdr:colOff>
      <xdr:row>23</xdr:row>
      <xdr:rowOff>114300</xdr:rowOff>
    </xdr:from>
    <xdr:to>
      <xdr:col>22</xdr:col>
      <xdr:colOff>381000</xdr:colOff>
      <xdr:row>25</xdr:row>
      <xdr:rowOff>133350</xdr:rowOff>
    </xdr:to>
    <xdr:sp>
      <xdr:nvSpPr>
        <xdr:cNvPr id="21" name="Line 76"/>
        <xdr:cNvSpPr>
          <a:spLocks/>
        </xdr:cNvSpPr>
      </xdr:nvSpPr>
      <xdr:spPr>
        <a:xfrm flipH="1">
          <a:off x="10858500" y="3524250"/>
          <a:ext cx="0" cy="342900"/>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333375</xdr:colOff>
      <xdr:row>25</xdr:row>
      <xdr:rowOff>142875</xdr:rowOff>
    </xdr:from>
    <xdr:to>
      <xdr:col>22</xdr:col>
      <xdr:colOff>571500</xdr:colOff>
      <xdr:row>27</xdr:row>
      <xdr:rowOff>0</xdr:rowOff>
    </xdr:to>
    <xdr:sp>
      <xdr:nvSpPr>
        <xdr:cNvPr id="22" name="Text Box 77"/>
        <xdr:cNvSpPr txBox="1">
          <a:spLocks noChangeArrowheads="1"/>
        </xdr:cNvSpPr>
      </xdr:nvSpPr>
      <xdr:spPr>
        <a:xfrm>
          <a:off x="10810875" y="387667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6</a:t>
          </a:r>
        </a:p>
      </xdr:txBody>
    </xdr:sp>
    <xdr:clientData/>
  </xdr:twoCellAnchor>
  <xdr:twoCellAnchor>
    <xdr:from>
      <xdr:col>23</xdr:col>
      <xdr:colOff>209550</xdr:colOff>
      <xdr:row>43</xdr:row>
      <xdr:rowOff>9525</xdr:rowOff>
    </xdr:from>
    <xdr:to>
      <xdr:col>23</xdr:col>
      <xdr:colOff>209550</xdr:colOff>
      <xdr:row>44</xdr:row>
      <xdr:rowOff>104775</xdr:rowOff>
    </xdr:to>
    <xdr:sp>
      <xdr:nvSpPr>
        <xdr:cNvPr id="23" name="Line 78"/>
        <xdr:cNvSpPr>
          <a:spLocks/>
        </xdr:cNvSpPr>
      </xdr:nvSpPr>
      <xdr:spPr>
        <a:xfrm flipH="1">
          <a:off x="11315700" y="6657975"/>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42</xdr:row>
      <xdr:rowOff>28575</xdr:rowOff>
    </xdr:from>
    <xdr:to>
      <xdr:col>23</xdr:col>
      <xdr:colOff>400050</xdr:colOff>
      <xdr:row>43</xdr:row>
      <xdr:rowOff>47625</xdr:rowOff>
    </xdr:to>
    <xdr:sp>
      <xdr:nvSpPr>
        <xdr:cNvPr id="24" name="Text Box 79"/>
        <xdr:cNvSpPr txBox="1">
          <a:spLocks noChangeArrowheads="1"/>
        </xdr:cNvSpPr>
      </xdr:nvSpPr>
      <xdr:spPr>
        <a:xfrm>
          <a:off x="11268075" y="65151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2</a:t>
          </a:r>
        </a:p>
      </xdr:txBody>
    </xdr:sp>
    <xdr:clientData/>
  </xdr:twoCellAnchor>
  <xdr:twoCellAnchor>
    <xdr:from>
      <xdr:col>22</xdr:col>
      <xdr:colOff>9525</xdr:colOff>
      <xdr:row>38</xdr:row>
      <xdr:rowOff>66675</xdr:rowOff>
    </xdr:from>
    <xdr:to>
      <xdr:col>22</xdr:col>
      <xdr:colOff>9525</xdr:colOff>
      <xdr:row>40</xdr:row>
      <xdr:rowOff>0</xdr:rowOff>
    </xdr:to>
    <xdr:sp>
      <xdr:nvSpPr>
        <xdr:cNvPr id="25" name="Line 80"/>
        <xdr:cNvSpPr>
          <a:spLocks/>
        </xdr:cNvSpPr>
      </xdr:nvSpPr>
      <xdr:spPr>
        <a:xfrm flipH="1">
          <a:off x="10487025" y="59055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581025</xdr:colOff>
      <xdr:row>37</xdr:row>
      <xdr:rowOff>76200</xdr:rowOff>
    </xdr:from>
    <xdr:to>
      <xdr:col>22</xdr:col>
      <xdr:colOff>190500</xdr:colOff>
      <xdr:row>38</xdr:row>
      <xdr:rowOff>95250</xdr:rowOff>
    </xdr:to>
    <xdr:sp>
      <xdr:nvSpPr>
        <xdr:cNvPr id="26" name="Text Box 81"/>
        <xdr:cNvSpPr txBox="1">
          <a:spLocks noChangeArrowheads="1"/>
        </xdr:cNvSpPr>
      </xdr:nvSpPr>
      <xdr:spPr>
        <a:xfrm>
          <a:off x="10429875" y="57531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a:t>
          </a:r>
        </a:p>
      </xdr:txBody>
    </xdr:sp>
    <xdr:clientData/>
  </xdr:twoCellAnchor>
  <xdr:twoCellAnchor>
    <xdr:from>
      <xdr:col>19</xdr:col>
      <xdr:colOff>76200</xdr:colOff>
      <xdr:row>40</xdr:row>
      <xdr:rowOff>104775</xdr:rowOff>
    </xdr:from>
    <xdr:to>
      <xdr:col>19</xdr:col>
      <xdr:colOff>76200</xdr:colOff>
      <xdr:row>42</xdr:row>
      <xdr:rowOff>38100</xdr:rowOff>
    </xdr:to>
    <xdr:sp>
      <xdr:nvSpPr>
        <xdr:cNvPr id="27" name="Line 82"/>
        <xdr:cNvSpPr>
          <a:spLocks/>
        </xdr:cNvSpPr>
      </xdr:nvSpPr>
      <xdr:spPr>
        <a:xfrm flipH="1">
          <a:off x="8667750" y="6267450"/>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42</xdr:row>
      <xdr:rowOff>47625</xdr:rowOff>
    </xdr:from>
    <xdr:to>
      <xdr:col>19</xdr:col>
      <xdr:colOff>266700</xdr:colOff>
      <xdr:row>43</xdr:row>
      <xdr:rowOff>66675</xdr:rowOff>
    </xdr:to>
    <xdr:sp>
      <xdr:nvSpPr>
        <xdr:cNvPr id="28" name="Text Box 83"/>
        <xdr:cNvSpPr txBox="1">
          <a:spLocks noChangeArrowheads="1"/>
        </xdr:cNvSpPr>
      </xdr:nvSpPr>
      <xdr:spPr>
        <a:xfrm>
          <a:off x="8620125" y="653415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3</a:t>
          </a:r>
        </a:p>
      </xdr:txBody>
    </xdr:sp>
    <xdr:clientData/>
  </xdr:twoCellAnchor>
  <xdr:twoCellAnchor>
    <xdr:from>
      <xdr:col>20</xdr:col>
      <xdr:colOff>104775</xdr:colOff>
      <xdr:row>31</xdr:row>
      <xdr:rowOff>133350</xdr:rowOff>
    </xdr:from>
    <xdr:to>
      <xdr:col>20</xdr:col>
      <xdr:colOff>104775</xdr:colOff>
      <xdr:row>33</xdr:row>
      <xdr:rowOff>66675</xdr:rowOff>
    </xdr:to>
    <xdr:sp>
      <xdr:nvSpPr>
        <xdr:cNvPr id="29" name="Line 84"/>
        <xdr:cNvSpPr>
          <a:spLocks/>
        </xdr:cNvSpPr>
      </xdr:nvSpPr>
      <xdr:spPr>
        <a:xfrm flipH="1">
          <a:off x="9324975" y="48387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30</xdr:row>
      <xdr:rowOff>142875</xdr:rowOff>
    </xdr:from>
    <xdr:to>
      <xdr:col>20</xdr:col>
      <xdr:colOff>285750</xdr:colOff>
      <xdr:row>32</xdr:row>
      <xdr:rowOff>0</xdr:rowOff>
    </xdr:to>
    <xdr:sp>
      <xdr:nvSpPr>
        <xdr:cNvPr id="30" name="Text Box 85"/>
        <xdr:cNvSpPr txBox="1">
          <a:spLocks noChangeArrowheads="1"/>
        </xdr:cNvSpPr>
      </xdr:nvSpPr>
      <xdr:spPr>
        <a:xfrm>
          <a:off x="9267825" y="46863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4</a:t>
          </a:r>
        </a:p>
      </xdr:txBody>
    </xdr:sp>
    <xdr:clientData/>
  </xdr:twoCellAnchor>
  <xdr:twoCellAnchor>
    <xdr:from>
      <xdr:col>19</xdr:col>
      <xdr:colOff>85725</xdr:colOff>
      <xdr:row>36</xdr:row>
      <xdr:rowOff>123825</xdr:rowOff>
    </xdr:from>
    <xdr:to>
      <xdr:col>19</xdr:col>
      <xdr:colOff>542925</xdr:colOff>
      <xdr:row>36</xdr:row>
      <xdr:rowOff>123825</xdr:rowOff>
    </xdr:to>
    <xdr:sp>
      <xdr:nvSpPr>
        <xdr:cNvPr id="31" name="Line 86"/>
        <xdr:cNvSpPr>
          <a:spLocks/>
        </xdr:cNvSpPr>
      </xdr:nvSpPr>
      <xdr:spPr>
        <a:xfrm flipH="1">
          <a:off x="8677275" y="5638800"/>
          <a:ext cx="457200"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561975</xdr:colOff>
      <xdr:row>36</xdr:row>
      <xdr:rowOff>47625</xdr:rowOff>
    </xdr:from>
    <xdr:to>
      <xdr:col>20</xdr:col>
      <xdr:colOff>171450</xdr:colOff>
      <xdr:row>37</xdr:row>
      <xdr:rowOff>66675</xdr:rowOff>
    </xdr:to>
    <xdr:sp>
      <xdr:nvSpPr>
        <xdr:cNvPr id="32" name="Text Box 87"/>
        <xdr:cNvSpPr txBox="1">
          <a:spLocks noChangeArrowheads="1"/>
        </xdr:cNvSpPr>
      </xdr:nvSpPr>
      <xdr:spPr>
        <a:xfrm>
          <a:off x="9153525" y="55626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5</a:t>
          </a:r>
        </a:p>
      </xdr:txBody>
    </xdr:sp>
    <xdr:clientData/>
  </xdr:twoCellAnchor>
  <xdr:twoCellAnchor>
    <xdr:from>
      <xdr:col>20</xdr:col>
      <xdr:colOff>152400</xdr:colOff>
      <xdr:row>36</xdr:row>
      <xdr:rowOff>95250</xdr:rowOff>
    </xdr:from>
    <xdr:to>
      <xdr:col>20</xdr:col>
      <xdr:colOff>152400</xdr:colOff>
      <xdr:row>38</xdr:row>
      <xdr:rowOff>28575</xdr:rowOff>
    </xdr:to>
    <xdr:sp>
      <xdr:nvSpPr>
        <xdr:cNvPr id="33" name="Line 88"/>
        <xdr:cNvSpPr>
          <a:spLocks/>
        </xdr:cNvSpPr>
      </xdr:nvSpPr>
      <xdr:spPr>
        <a:xfrm flipH="1">
          <a:off x="9372600" y="5610225"/>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95250</xdr:colOff>
      <xdr:row>35</xdr:row>
      <xdr:rowOff>104775</xdr:rowOff>
    </xdr:from>
    <xdr:to>
      <xdr:col>20</xdr:col>
      <xdr:colOff>333375</xdr:colOff>
      <xdr:row>36</xdr:row>
      <xdr:rowOff>123825</xdr:rowOff>
    </xdr:to>
    <xdr:sp>
      <xdr:nvSpPr>
        <xdr:cNvPr id="34" name="Text Box 89"/>
        <xdr:cNvSpPr txBox="1">
          <a:spLocks noChangeArrowheads="1"/>
        </xdr:cNvSpPr>
      </xdr:nvSpPr>
      <xdr:spPr>
        <a:xfrm>
          <a:off x="9315450" y="54578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7</a:t>
          </a:r>
        </a:p>
      </xdr:txBody>
    </xdr:sp>
    <xdr:clientData/>
  </xdr:twoCellAnchor>
  <xdr:twoCellAnchor>
    <xdr:from>
      <xdr:col>35</xdr:col>
      <xdr:colOff>266700</xdr:colOff>
      <xdr:row>23</xdr:row>
      <xdr:rowOff>95250</xdr:rowOff>
    </xdr:from>
    <xdr:to>
      <xdr:col>35</xdr:col>
      <xdr:colOff>266700</xdr:colOff>
      <xdr:row>25</xdr:row>
      <xdr:rowOff>28575</xdr:rowOff>
    </xdr:to>
    <xdr:sp>
      <xdr:nvSpPr>
        <xdr:cNvPr id="35" name="Line 91"/>
        <xdr:cNvSpPr>
          <a:spLocks/>
        </xdr:cNvSpPr>
      </xdr:nvSpPr>
      <xdr:spPr>
        <a:xfrm flipH="1">
          <a:off x="16821150" y="35052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56</xdr:row>
      <xdr:rowOff>0</xdr:rowOff>
    </xdr:from>
    <xdr:to>
      <xdr:col>38</xdr:col>
      <xdr:colOff>0</xdr:colOff>
      <xdr:row>59</xdr:row>
      <xdr:rowOff>0</xdr:rowOff>
    </xdr:to>
    <xdr:sp>
      <xdr:nvSpPr>
        <xdr:cNvPr id="36" name="Text Box 92"/>
        <xdr:cNvSpPr txBox="1">
          <a:spLocks noChangeArrowheads="1"/>
        </xdr:cNvSpPr>
      </xdr:nvSpPr>
      <xdr:spPr>
        <a:xfrm>
          <a:off x="12782550" y="8753475"/>
          <a:ext cx="5238750" cy="48577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Ohjelman käyttäjän vastuu</a:t>
          </a:r>
          <a:r>
            <a:rPr lang="en-US" cap="none" sz="8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Ohjelman tekijä ei vastaa ohjelman mahdollisista virheistä ja niistä aiheutuneista vahingoista ohjelman käyttäjälle ja mahdolliselle 
</a:t>
          </a:r>
          <a:r>
            <a:rPr lang="en-US" cap="none" sz="700" b="0" i="0" u="none" baseline="0">
              <a:solidFill>
                <a:srgbClr val="000000"/>
              </a:solidFill>
              <a:latin typeface="Arial"/>
              <a:ea typeface="Arial"/>
              <a:cs typeface="Arial"/>
            </a:rPr>
            <a:t>kolmannelle osapuolelle. Ohjelman käyttäjä käyttää ohjelmaa omalla vastuulla ja on itse vastuussa  tulosten oikeellisuudesta. </a:t>
          </a:r>
        </a:p>
      </xdr:txBody>
    </xdr:sp>
    <xdr:clientData/>
  </xdr:twoCellAnchor>
  <xdr:twoCellAnchor>
    <xdr:from>
      <xdr:col>29</xdr:col>
      <xdr:colOff>38100</xdr:colOff>
      <xdr:row>8</xdr:row>
      <xdr:rowOff>38100</xdr:rowOff>
    </xdr:from>
    <xdr:to>
      <xdr:col>36</xdr:col>
      <xdr:colOff>419100</xdr:colOff>
      <xdr:row>9</xdr:row>
      <xdr:rowOff>104775</xdr:rowOff>
    </xdr:to>
    <xdr:sp>
      <xdr:nvSpPr>
        <xdr:cNvPr id="37" name="Text Box 93"/>
        <xdr:cNvSpPr txBox="1">
          <a:spLocks noChangeArrowheads="1"/>
        </xdr:cNvSpPr>
      </xdr:nvSpPr>
      <xdr:spPr>
        <a:xfrm>
          <a:off x="12820650" y="1047750"/>
          <a:ext cx="4781550" cy="23812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3.0 Poikittaisjäykiste, jossa ylälaippana lauta (kansirakenne poikittaiskoolattu)</a:t>
          </a:r>
        </a:p>
      </xdr:txBody>
    </xdr:sp>
    <xdr:clientData/>
  </xdr:twoCellAnchor>
  <xdr:twoCellAnchor>
    <xdr:from>
      <xdr:col>29</xdr:col>
      <xdr:colOff>38100</xdr:colOff>
      <xdr:row>47</xdr:row>
      <xdr:rowOff>133350</xdr:rowOff>
    </xdr:from>
    <xdr:to>
      <xdr:col>33</xdr:col>
      <xdr:colOff>552450</xdr:colOff>
      <xdr:row>55</xdr:row>
      <xdr:rowOff>19050</xdr:rowOff>
    </xdr:to>
    <xdr:sp>
      <xdr:nvSpPr>
        <xdr:cNvPr id="38" name="Text Box 95"/>
        <xdr:cNvSpPr txBox="1">
          <a:spLocks noChangeArrowheads="1"/>
        </xdr:cNvSpPr>
      </xdr:nvSpPr>
      <xdr:spPr>
        <a:xfrm>
          <a:off x="12820650" y="7429500"/>
          <a:ext cx="3028950" cy="1181100"/>
        </a:xfrm>
        <a:prstGeom prst="rect">
          <a:avLst/>
        </a:prstGeom>
        <a:noFill/>
        <a:ln w="9525" cmpd="sng">
          <a:noFill/>
        </a:ln>
      </xdr:spPr>
      <xdr:txBody>
        <a:bodyPr vertOverflow="clip" wrap="square" lIns="27432" tIns="22860" rIns="0" bIns="0"/>
        <a:p>
          <a:pPr algn="l">
            <a:defRPr/>
          </a:pPr>
          <a:r>
            <a:rPr lang="en-US" cap="none" sz="800" b="1" i="0" u="sng" baseline="0">
              <a:solidFill>
                <a:srgbClr val="000000"/>
              </a:solidFill>
              <a:latin typeface="Arial"/>
              <a:ea typeface="Arial"/>
              <a:cs typeface="Arial"/>
            </a:rPr>
            <a:t>Poikittaisjäykisteen osat
</a:t>
          </a:r>
          <a:r>
            <a:rPr lang="en-US" cap="none" sz="800" b="0" i="0" u="none" baseline="0">
              <a:solidFill>
                <a:srgbClr val="000000"/>
              </a:solidFill>
              <a:latin typeface="Arial"/>
              <a:ea typeface="Arial"/>
              <a:cs typeface="Arial"/>
            </a:rPr>
            <a:t>1 = välikapula, palkkimateriaalia
</a:t>
          </a:r>
          <a:r>
            <a:rPr lang="en-US" cap="none" sz="800" b="0" i="0" u="none" baseline="0">
              <a:solidFill>
                <a:srgbClr val="000000"/>
              </a:solidFill>
              <a:latin typeface="Arial"/>
              <a:ea typeface="Arial"/>
              <a:cs typeface="Arial"/>
            </a:rPr>
            <a:t>2 = alalaippa, C18 20x98 lauta (jatkuva)
</a:t>
          </a:r>
          <a:r>
            <a:rPr lang="en-US" cap="none" sz="800" b="0" i="0" u="none" baseline="0">
              <a:solidFill>
                <a:srgbClr val="000000"/>
              </a:solidFill>
              <a:latin typeface="Arial"/>
              <a:ea typeface="Arial"/>
              <a:cs typeface="Arial"/>
            </a:rPr>
            <a:t>3 = kampanaulat 2,5x60 ≤ k100 alalaipan läpi välikapuloihin
</a:t>
          </a:r>
          <a:r>
            <a:rPr lang="en-US" cap="none" sz="800" b="0" i="0" u="none" baseline="0">
              <a:solidFill>
                <a:srgbClr val="000000"/>
              </a:solidFill>
              <a:latin typeface="Arial"/>
              <a:ea typeface="Arial"/>
              <a:cs typeface="Arial"/>
            </a:rPr>
            <a:t>4 = ylälaippa, C18 20x98 lauta (jatkuva)
</a:t>
          </a:r>
          <a:r>
            <a:rPr lang="en-US" cap="none" sz="800" b="0" i="0" u="none" baseline="0">
              <a:solidFill>
                <a:srgbClr val="000000"/>
              </a:solidFill>
              <a:latin typeface="Arial"/>
              <a:ea typeface="Arial"/>
              <a:cs typeface="Arial"/>
            </a:rPr>
            <a:t>5 = kampanaulat 2,5x60 ≤ k100 ylälaipan läpi välikapuloihin
</a:t>
          </a:r>
          <a:r>
            <a:rPr lang="en-US" cap="none" sz="800" b="0" i="0" u="none" baseline="0">
              <a:solidFill>
                <a:srgbClr val="000000"/>
              </a:solidFill>
              <a:latin typeface="Arial"/>
              <a:ea typeface="Arial"/>
              <a:cs typeface="Arial"/>
            </a:rPr>
            <a:t>6 = kampanaula 3,1x90 k50 palkin läpi välikapuloihin
</a:t>
          </a:r>
          <a:r>
            <a:rPr lang="en-US" cap="none" sz="800" b="0" i="0" u="none" baseline="0">
              <a:solidFill>
                <a:srgbClr val="000000"/>
              </a:solidFill>
              <a:latin typeface="Arial"/>
              <a:ea typeface="Arial"/>
              <a:cs typeface="Arial"/>
            </a:rPr>
            <a:t>7 = täyskierteinen vinoruuvi 6,0x120 ala- ja ylälaippaan</a:t>
          </a:r>
        </a:p>
      </xdr:txBody>
    </xdr:sp>
    <xdr:clientData/>
  </xdr:twoCellAnchor>
  <xdr:twoCellAnchor>
    <xdr:from>
      <xdr:col>35</xdr:col>
      <xdr:colOff>219075</xdr:colOff>
      <xdr:row>22</xdr:row>
      <xdr:rowOff>114300</xdr:rowOff>
    </xdr:from>
    <xdr:to>
      <xdr:col>35</xdr:col>
      <xdr:colOff>457200</xdr:colOff>
      <xdr:row>23</xdr:row>
      <xdr:rowOff>133350</xdr:rowOff>
    </xdr:to>
    <xdr:sp>
      <xdr:nvSpPr>
        <xdr:cNvPr id="39" name="Text Box 98"/>
        <xdr:cNvSpPr txBox="1">
          <a:spLocks noChangeArrowheads="1"/>
        </xdr:cNvSpPr>
      </xdr:nvSpPr>
      <xdr:spPr>
        <a:xfrm>
          <a:off x="16773525" y="33623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2</a:t>
          </a:r>
        </a:p>
      </xdr:txBody>
    </xdr:sp>
    <xdr:clientData/>
  </xdr:twoCellAnchor>
  <xdr:twoCellAnchor>
    <xdr:from>
      <xdr:col>31</xdr:col>
      <xdr:colOff>133350</xdr:colOff>
      <xdr:row>21</xdr:row>
      <xdr:rowOff>9525</xdr:rowOff>
    </xdr:from>
    <xdr:to>
      <xdr:col>31</xdr:col>
      <xdr:colOff>133350</xdr:colOff>
      <xdr:row>22</xdr:row>
      <xdr:rowOff>104775</xdr:rowOff>
    </xdr:to>
    <xdr:sp>
      <xdr:nvSpPr>
        <xdr:cNvPr id="40" name="Line 99"/>
        <xdr:cNvSpPr>
          <a:spLocks/>
        </xdr:cNvSpPr>
      </xdr:nvSpPr>
      <xdr:spPr>
        <a:xfrm flipH="1">
          <a:off x="14173200" y="3095625"/>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22</xdr:row>
      <xdr:rowOff>114300</xdr:rowOff>
    </xdr:from>
    <xdr:to>
      <xdr:col>31</xdr:col>
      <xdr:colOff>323850</xdr:colOff>
      <xdr:row>23</xdr:row>
      <xdr:rowOff>133350</xdr:rowOff>
    </xdr:to>
    <xdr:sp>
      <xdr:nvSpPr>
        <xdr:cNvPr id="41" name="Text Box 100"/>
        <xdr:cNvSpPr txBox="1">
          <a:spLocks noChangeArrowheads="1"/>
        </xdr:cNvSpPr>
      </xdr:nvSpPr>
      <xdr:spPr>
        <a:xfrm>
          <a:off x="14125575" y="33623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3</a:t>
          </a:r>
        </a:p>
      </xdr:txBody>
    </xdr:sp>
    <xdr:clientData/>
  </xdr:twoCellAnchor>
  <xdr:twoCellAnchor>
    <xdr:from>
      <xdr:col>34</xdr:col>
      <xdr:colOff>438150</xdr:colOff>
      <xdr:row>23</xdr:row>
      <xdr:rowOff>104775</xdr:rowOff>
    </xdr:from>
    <xdr:to>
      <xdr:col>34</xdr:col>
      <xdr:colOff>438150</xdr:colOff>
      <xdr:row>25</xdr:row>
      <xdr:rowOff>123825</xdr:rowOff>
    </xdr:to>
    <xdr:sp>
      <xdr:nvSpPr>
        <xdr:cNvPr id="42" name="Line 105"/>
        <xdr:cNvSpPr>
          <a:spLocks/>
        </xdr:cNvSpPr>
      </xdr:nvSpPr>
      <xdr:spPr>
        <a:xfrm flipH="1">
          <a:off x="16363950" y="3514725"/>
          <a:ext cx="0" cy="342900"/>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390525</xdr:colOff>
      <xdr:row>25</xdr:row>
      <xdr:rowOff>133350</xdr:rowOff>
    </xdr:from>
    <xdr:to>
      <xdr:col>35</xdr:col>
      <xdr:colOff>0</xdr:colOff>
      <xdr:row>26</xdr:row>
      <xdr:rowOff>152400</xdr:rowOff>
    </xdr:to>
    <xdr:sp>
      <xdr:nvSpPr>
        <xdr:cNvPr id="43" name="Text Box 106"/>
        <xdr:cNvSpPr txBox="1">
          <a:spLocks noChangeArrowheads="1"/>
        </xdr:cNvSpPr>
      </xdr:nvSpPr>
      <xdr:spPr>
        <a:xfrm>
          <a:off x="16316325" y="386715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6</a:t>
          </a:r>
        </a:p>
      </xdr:txBody>
    </xdr:sp>
    <xdr:clientData/>
  </xdr:twoCellAnchor>
  <xdr:twoCellAnchor>
    <xdr:from>
      <xdr:col>33</xdr:col>
      <xdr:colOff>9525</xdr:colOff>
      <xdr:row>22</xdr:row>
      <xdr:rowOff>47625</xdr:rowOff>
    </xdr:from>
    <xdr:to>
      <xdr:col>33</xdr:col>
      <xdr:colOff>9525</xdr:colOff>
      <xdr:row>24</xdr:row>
      <xdr:rowOff>66675</xdr:rowOff>
    </xdr:to>
    <xdr:sp>
      <xdr:nvSpPr>
        <xdr:cNvPr id="44" name="Line 126"/>
        <xdr:cNvSpPr>
          <a:spLocks/>
        </xdr:cNvSpPr>
      </xdr:nvSpPr>
      <xdr:spPr>
        <a:xfrm flipH="1">
          <a:off x="15306675" y="3295650"/>
          <a:ext cx="0" cy="342900"/>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590550</xdr:colOff>
      <xdr:row>24</xdr:row>
      <xdr:rowOff>76200</xdr:rowOff>
    </xdr:from>
    <xdr:to>
      <xdr:col>33</xdr:col>
      <xdr:colOff>200025</xdr:colOff>
      <xdr:row>25</xdr:row>
      <xdr:rowOff>95250</xdr:rowOff>
    </xdr:to>
    <xdr:sp>
      <xdr:nvSpPr>
        <xdr:cNvPr id="45" name="Text Box 127"/>
        <xdr:cNvSpPr txBox="1">
          <a:spLocks noChangeArrowheads="1"/>
        </xdr:cNvSpPr>
      </xdr:nvSpPr>
      <xdr:spPr>
        <a:xfrm>
          <a:off x="15259050" y="364807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a:t>
          </a:r>
        </a:p>
      </xdr:txBody>
    </xdr:sp>
    <xdr:clientData/>
  </xdr:twoCellAnchor>
  <xdr:twoCellAnchor>
    <xdr:from>
      <xdr:col>35</xdr:col>
      <xdr:colOff>285750</xdr:colOff>
      <xdr:row>21</xdr:row>
      <xdr:rowOff>19050</xdr:rowOff>
    </xdr:from>
    <xdr:to>
      <xdr:col>35</xdr:col>
      <xdr:colOff>542925</xdr:colOff>
      <xdr:row>21</xdr:row>
      <xdr:rowOff>19050</xdr:rowOff>
    </xdr:to>
    <xdr:sp>
      <xdr:nvSpPr>
        <xdr:cNvPr id="46" name="Line 128"/>
        <xdr:cNvSpPr>
          <a:spLocks/>
        </xdr:cNvSpPr>
      </xdr:nvSpPr>
      <xdr:spPr>
        <a:xfrm flipH="1">
          <a:off x="16840200" y="3105150"/>
          <a:ext cx="257175"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561975</xdr:colOff>
      <xdr:row>20</xdr:row>
      <xdr:rowOff>104775</xdr:rowOff>
    </xdr:from>
    <xdr:to>
      <xdr:col>36</xdr:col>
      <xdr:colOff>171450</xdr:colOff>
      <xdr:row>21</xdr:row>
      <xdr:rowOff>123825</xdr:rowOff>
    </xdr:to>
    <xdr:sp>
      <xdr:nvSpPr>
        <xdr:cNvPr id="47" name="Text Box 129"/>
        <xdr:cNvSpPr txBox="1">
          <a:spLocks noChangeArrowheads="1"/>
        </xdr:cNvSpPr>
      </xdr:nvSpPr>
      <xdr:spPr>
        <a:xfrm>
          <a:off x="17116425" y="302895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4</a:t>
          </a:r>
        </a:p>
      </xdr:txBody>
    </xdr:sp>
    <xdr:clientData/>
  </xdr:twoCellAnchor>
  <xdr:twoCellAnchor>
    <xdr:from>
      <xdr:col>29</xdr:col>
      <xdr:colOff>314325</xdr:colOff>
      <xdr:row>15</xdr:row>
      <xdr:rowOff>76200</xdr:rowOff>
    </xdr:from>
    <xdr:to>
      <xdr:col>29</xdr:col>
      <xdr:colOff>314325</xdr:colOff>
      <xdr:row>41</xdr:row>
      <xdr:rowOff>104775</xdr:rowOff>
    </xdr:to>
    <xdr:sp>
      <xdr:nvSpPr>
        <xdr:cNvPr id="48" name="Line 135"/>
        <xdr:cNvSpPr>
          <a:spLocks/>
        </xdr:cNvSpPr>
      </xdr:nvSpPr>
      <xdr:spPr>
        <a:xfrm>
          <a:off x="13096875" y="2190750"/>
          <a:ext cx="0" cy="42386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266700</xdr:colOff>
      <xdr:row>43</xdr:row>
      <xdr:rowOff>19050</xdr:rowOff>
    </xdr:from>
    <xdr:to>
      <xdr:col>35</xdr:col>
      <xdr:colOff>266700</xdr:colOff>
      <xdr:row>44</xdr:row>
      <xdr:rowOff>114300</xdr:rowOff>
    </xdr:to>
    <xdr:sp>
      <xdr:nvSpPr>
        <xdr:cNvPr id="49" name="Line 137"/>
        <xdr:cNvSpPr>
          <a:spLocks/>
        </xdr:cNvSpPr>
      </xdr:nvSpPr>
      <xdr:spPr>
        <a:xfrm flipH="1">
          <a:off x="16821150" y="66675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219075</xdr:colOff>
      <xdr:row>42</xdr:row>
      <xdr:rowOff>38100</xdr:rowOff>
    </xdr:from>
    <xdr:to>
      <xdr:col>35</xdr:col>
      <xdr:colOff>457200</xdr:colOff>
      <xdr:row>43</xdr:row>
      <xdr:rowOff>57150</xdr:rowOff>
    </xdr:to>
    <xdr:sp>
      <xdr:nvSpPr>
        <xdr:cNvPr id="50" name="Text Box 138"/>
        <xdr:cNvSpPr txBox="1">
          <a:spLocks noChangeArrowheads="1"/>
        </xdr:cNvSpPr>
      </xdr:nvSpPr>
      <xdr:spPr>
        <a:xfrm>
          <a:off x="16773525" y="65246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2</a:t>
          </a:r>
        </a:p>
      </xdr:txBody>
    </xdr:sp>
    <xdr:clientData/>
  </xdr:twoCellAnchor>
  <xdr:twoCellAnchor>
    <xdr:from>
      <xdr:col>33</xdr:col>
      <xdr:colOff>9525</xdr:colOff>
      <xdr:row>41</xdr:row>
      <xdr:rowOff>133350</xdr:rowOff>
    </xdr:from>
    <xdr:to>
      <xdr:col>33</xdr:col>
      <xdr:colOff>9525</xdr:colOff>
      <xdr:row>43</xdr:row>
      <xdr:rowOff>152400</xdr:rowOff>
    </xdr:to>
    <xdr:sp>
      <xdr:nvSpPr>
        <xdr:cNvPr id="51" name="Line 141"/>
        <xdr:cNvSpPr>
          <a:spLocks/>
        </xdr:cNvSpPr>
      </xdr:nvSpPr>
      <xdr:spPr>
        <a:xfrm flipH="1">
          <a:off x="15306675" y="6457950"/>
          <a:ext cx="0" cy="342900"/>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590550</xdr:colOff>
      <xdr:row>44</xdr:row>
      <xdr:rowOff>0</xdr:rowOff>
    </xdr:from>
    <xdr:to>
      <xdr:col>33</xdr:col>
      <xdr:colOff>200025</xdr:colOff>
      <xdr:row>45</xdr:row>
      <xdr:rowOff>19050</xdr:rowOff>
    </xdr:to>
    <xdr:sp>
      <xdr:nvSpPr>
        <xdr:cNvPr id="52" name="Text Box 142"/>
        <xdr:cNvSpPr txBox="1">
          <a:spLocks noChangeArrowheads="1"/>
        </xdr:cNvSpPr>
      </xdr:nvSpPr>
      <xdr:spPr>
        <a:xfrm>
          <a:off x="15259050" y="681037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a:t>
          </a:r>
        </a:p>
      </xdr:txBody>
    </xdr:sp>
    <xdr:clientData/>
  </xdr:twoCellAnchor>
  <xdr:twoCellAnchor>
    <xdr:from>
      <xdr:col>35</xdr:col>
      <xdr:colOff>285750</xdr:colOff>
      <xdr:row>40</xdr:row>
      <xdr:rowOff>104775</xdr:rowOff>
    </xdr:from>
    <xdr:to>
      <xdr:col>35</xdr:col>
      <xdr:colOff>542925</xdr:colOff>
      <xdr:row>40</xdr:row>
      <xdr:rowOff>104775</xdr:rowOff>
    </xdr:to>
    <xdr:sp>
      <xdr:nvSpPr>
        <xdr:cNvPr id="53" name="Line 143"/>
        <xdr:cNvSpPr>
          <a:spLocks/>
        </xdr:cNvSpPr>
      </xdr:nvSpPr>
      <xdr:spPr>
        <a:xfrm flipH="1">
          <a:off x="16840200" y="6267450"/>
          <a:ext cx="257175"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561975</xdr:colOff>
      <xdr:row>40</xdr:row>
      <xdr:rowOff>28575</xdr:rowOff>
    </xdr:from>
    <xdr:to>
      <xdr:col>36</xdr:col>
      <xdr:colOff>171450</xdr:colOff>
      <xdr:row>41</xdr:row>
      <xdr:rowOff>47625</xdr:rowOff>
    </xdr:to>
    <xdr:sp>
      <xdr:nvSpPr>
        <xdr:cNvPr id="54" name="Text Box 144"/>
        <xdr:cNvSpPr txBox="1">
          <a:spLocks noChangeArrowheads="1"/>
        </xdr:cNvSpPr>
      </xdr:nvSpPr>
      <xdr:spPr>
        <a:xfrm>
          <a:off x="17116425" y="619125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4</a:t>
          </a:r>
        </a:p>
      </xdr:txBody>
    </xdr:sp>
    <xdr:clientData/>
  </xdr:twoCellAnchor>
  <xdr:twoCellAnchor>
    <xdr:from>
      <xdr:col>31</xdr:col>
      <xdr:colOff>133350</xdr:colOff>
      <xdr:row>40</xdr:row>
      <xdr:rowOff>85725</xdr:rowOff>
    </xdr:from>
    <xdr:to>
      <xdr:col>31</xdr:col>
      <xdr:colOff>133350</xdr:colOff>
      <xdr:row>42</xdr:row>
      <xdr:rowOff>19050</xdr:rowOff>
    </xdr:to>
    <xdr:sp>
      <xdr:nvSpPr>
        <xdr:cNvPr id="55" name="Line 147"/>
        <xdr:cNvSpPr>
          <a:spLocks/>
        </xdr:cNvSpPr>
      </xdr:nvSpPr>
      <xdr:spPr>
        <a:xfrm flipH="1">
          <a:off x="14173200" y="6248400"/>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85725</xdr:colOff>
      <xdr:row>42</xdr:row>
      <xdr:rowOff>28575</xdr:rowOff>
    </xdr:from>
    <xdr:to>
      <xdr:col>31</xdr:col>
      <xdr:colOff>323850</xdr:colOff>
      <xdr:row>43</xdr:row>
      <xdr:rowOff>47625</xdr:rowOff>
    </xdr:to>
    <xdr:sp>
      <xdr:nvSpPr>
        <xdr:cNvPr id="56" name="Text Box 148"/>
        <xdr:cNvSpPr txBox="1">
          <a:spLocks noChangeArrowheads="1"/>
        </xdr:cNvSpPr>
      </xdr:nvSpPr>
      <xdr:spPr>
        <a:xfrm>
          <a:off x="14125575" y="65151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3</a:t>
          </a:r>
        </a:p>
      </xdr:txBody>
    </xdr:sp>
    <xdr:clientData/>
  </xdr:twoCellAnchor>
  <xdr:twoCellAnchor>
    <xdr:from>
      <xdr:col>30</xdr:col>
      <xdr:colOff>457200</xdr:colOff>
      <xdr:row>40</xdr:row>
      <xdr:rowOff>9525</xdr:rowOff>
    </xdr:from>
    <xdr:to>
      <xdr:col>30</xdr:col>
      <xdr:colOff>457200</xdr:colOff>
      <xdr:row>41</xdr:row>
      <xdr:rowOff>104775</xdr:rowOff>
    </xdr:to>
    <xdr:sp>
      <xdr:nvSpPr>
        <xdr:cNvPr id="57" name="Line 149"/>
        <xdr:cNvSpPr>
          <a:spLocks/>
        </xdr:cNvSpPr>
      </xdr:nvSpPr>
      <xdr:spPr>
        <a:xfrm flipH="1">
          <a:off x="13868400" y="6172200"/>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409575</xdr:colOff>
      <xdr:row>41</xdr:row>
      <xdr:rowOff>114300</xdr:rowOff>
    </xdr:from>
    <xdr:to>
      <xdr:col>31</xdr:col>
      <xdr:colOff>19050</xdr:colOff>
      <xdr:row>42</xdr:row>
      <xdr:rowOff>133350</xdr:rowOff>
    </xdr:to>
    <xdr:sp>
      <xdr:nvSpPr>
        <xdr:cNvPr id="58" name="Text Box 150"/>
        <xdr:cNvSpPr txBox="1">
          <a:spLocks noChangeArrowheads="1"/>
        </xdr:cNvSpPr>
      </xdr:nvSpPr>
      <xdr:spPr>
        <a:xfrm>
          <a:off x="13820775" y="64389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7</a:t>
          </a:r>
        </a:p>
      </xdr:txBody>
    </xdr:sp>
    <xdr:clientData/>
  </xdr:twoCellAnchor>
  <xdr:twoCellAnchor>
    <xdr:from>
      <xdr:col>31</xdr:col>
      <xdr:colOff>552450</xdr:colOff>
      <xdr:row>17</xdr:row>
      <xdr:rowOff>9525</xdr:rowOff>
    </xdr:from>
    <xdr:to>
      <xdr:col>31</xdr:col>
      <xdr:colOff>552450</xdr:colOff>
      <xdr:row>17</xdr:row>
      <xdr:rowOff>142875</xdr:rowOff>
    </xdr:to>
    <xdr:sp>
      <xdr:nvSpPr>
        <xdr:cNvPr id="59" name="Line 151"/>
        <xdr:cNvSpPr>
          <a:spLocks/>
        </xdr:cNvSpPr>
      </xdr:nvSpPr>
      <xdr:spPr>
        <a:xfrm flipH="1">
          <a:off x="14592300" y="2447925"/>
          <a:ext cx="0" cy="1333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504825</xdr:colOff>
      <xdr:row>16</xdr:row>
      <xdr:rowOff>38100</xdr:rowOff>
    </xdr:from>
    <xdr:to>
      <xdr:col>32</xdr:col>
      <xdr:colOff>114300</xdr:colOff>
      <xdr:row>17</xdr:row>
      <xdr:rowOff>57150</xdr:rowOff>
    </xdr:to>
    <xdr:sp>
      <xdr:nvSpPr>
        <xdr:cNvPr id="60" name="Text Box 152"/>
        <xdr:cNvSpPr txBox="1">
          <a:spLocks noChangeArrowheads="1"/>
        </xdr:cNvSpPr>
      </xdr:nvSpPr>
      <xdr:spPr>
        <a:xfrm>
          <a:off x="14544675" y="231457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5</a:t>
          </a:r>
        </a:p>
      </xdr:txBody>
    </xdr:sp>
    <xdr:clientData/>
  </xdr:twoCellAnchor>
  <xdr:twoCellAnchor>
    <xdr:from>
      <xdr:col>31</xdr:col>
      <xdr:colOff>552450</xdr:colOff>
      <xdr:row>36</xdr:row>
      <xdr:rowOff>95250</xdr:rowOff>
    </xdr:from>
    <xdr:to>
      <xdr:col>31</xdr:col>
      <xdr:colOff>552450</xdr:colOff>
      <xdr:row>37</xdr:row>
      <xdr:rowOff>66675</xdr:rowOff>
    </xdr:to>
    <xdr:sp>
      <xdr:nvSpPr>
        <xdr:cNvPr id="61" name="Line 153"/>
        <xdr:cNvSpPr>
          <a:spLocks/>
        </xdr:cNvSpPr>
      </xdr:nvSpPr>
      <xdr:spPr>
        <a:xfrm flipH="1">
          <a:off x="14592300" y="5610225"/>
          <a:ext cx="0" cy="1333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504825</xdr:colOff>
      <xdr:row>35</xdr:row>
      <xdr:rowOff>123825</xdr:rowOff>
    </xdr:from>
    <xdr:to>
      <xdr:col>32</xdr:col>
      <xdr:colOff>114300</xdr:colOff>
      <xdr:row>36</xdr:row>
      <xdr:rowOff>142875</xdr:rowOff>
    </xdr:to>
    <xdr:sp>
      <xdr:nvSpPr>
        <xdr:cNvPr id="62" name="Text Box 154"/>
        <xdr:cNvSpPr txBox="1">
          <a:spLocks noChangeArrowheads="1"/>
        </xdr:cNvSpPr>
      </xdr:nvSpPr>
      <xdr:spPr>
        <a:xfrm>
          <a:off x="14544675" y="547687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5</a:t>
          </a:r>
        </a:p>
      </xdr:txBody>
    </xdr:sp>
    <xdr:clientData/>
  </xdr:twoCellAnchor>
  <xdr:twoCellAnchor>
    <xdr:from>
      <xdr:col>3</xdr:col>
      <xdr:colOff>38100</xdr:colOff>
      <xdr:row>29</xdr:row>
      <xdr:rowOff>38100</xdr:rowOff>
    </xdr:from>
    <xdr:to>
      <xdr:col>10</xdr:col>
      <xdr:colOff>419100</xdr:colOff>
      <xdr:row>30</xdr:row>
      <xdr:rowOff>104775</xdr:rowOff>
    </xdr:to>
    <xdr:sp>
      <xdr:nvSpPr>
        <xdr:cNvPr id="63" name="Text Box 157"/>
        <xdr:cNvSpPr txBox="1">
          <a:spLocks noChangeArrowheads="1"/>
        </xdr:cNvSpPr>
      </xdr:nvSpPr>
      <xdr:spPr>
        <a:xfrm>
          <a:off x="666750" y="4419600"/>
          <a:ext cx="4781550" cy="22860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1.0 Poikittaisjäykisteen jatkos</a:t>
          </a:r>
        </a:p>
      </xdr:txBody>
    </xdr:sp>
    <xdr:clientData/>
  </xdr:twoCellAnchor>
  <xdr:twoCellAnchor>
    <xdr:from>
      <xdr:col>3</xdr:col>
      <xdr:colOff>0</xdr:colOff>
      <xdr:row>30</xdr:row>
      <xdr:rowOff>95250</xdr:rowOff>
    </xdr:from>
    <xdr:to>
      <xdr:col>11</xdr:col>
      <xdr:colOff>152400</xdr:colOff>
      <xdr:row>34</xdr:row>
      <xdr:rowOff>104775</xdr:rowOff>
    </xdr:to>
    <xdr:sp>
      <xdr:nvSpPr>
        <xdr:cNvPr id="64" name="Text Box 159"/>
        <xdr:cNvSpPr txBox="1">
          <a:spLocks noChangeArrowheads="1"/>
        </xdr:cNvSpPr>
      </xdr:nvSpPr>
      <xdr:spPr>
        <a:xfrm>
          <a:off x="628650" y="4638675"/>
          <a:ext cx="5181600" cy="6572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Poikittaisjäykisteen ala- ja ylälaippana käytettävän laudan tulee olla jatkuva koko välipohjan leveydellä, kun välipohja tehdään paikalla rakentaen ja koko elementin leveydellä, kun välipohja on elementtirakenteinen. 
</a:t>
          </a:r>
          <a:r>
            <a:rPr lang="en-US" cap="none" sz="800" b="0" i="0" u="none" baseline="0">
              <a:solidFill>
                <a:srgbClr val="000000"/>
              </a:solidFill>
              <a:latin typeface="Arial"/>
              <a:ea typeface="Arial"/>
              <a:cs typeface="Arial"/>
            </a:rPr>
            <a:t>Mikäli lautaa joudutaan jatkamaan, tehdään jatkos alla olevan kuvan periaatteella limittämällä jatkos vähintään yhden palkkivälin verran.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590550</xdr:colOff>
      <xdr:row>38</xdr:row>
      <xdr:rowOff>142875</xdr:rowOff>
    </xdr:from>
    <xdr:to>
      <xdr:col>8</xdr:col>
      <xdr:colOff>590550</xdr:colOff>
      <xdr:row>40</xdr:row>
      <xdr:rowOff>76200</xdr:rowOff>
    </xdr:to>
    <xdr:sp>
      <xdr:nvSpPr>
        <xdr:cNvPr id="65" name="Line 164"/>
        <xdr:cNvSpPr>
          <a:spLocks/>
        </xdr:cNvSpPr>
      </xdr:nvSpPr>
      <xdr:spPr>
        <a:xfrm flipH="1">
          <a:off x="4362450" y="5981700"/>
          <a:ext cx="0"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37</xdr:row>
      <xdr:rowOff>152400</xdr:rowOff>
    </xdr:from>
    <xdr:to>
      <xdr:col>9</xdr:col>
      <xdr:colOff>152400</xdr:colOff>
      <xdr:row>39</xdr:row>
      <xdr:rowOff>9525</xdr:rowOff>
    </xdr:to>
    <xdr:sp>
      <xdr:nvSpPr>
        <xdr:cNvPr id="66" name="Text Box 165"/>
        <xdr:cNvSpPr txBox="1">
          <a:spLocks noChangeArrowheads="1"/>
        </xdr:cNvSpPr>
      </xdr:nvSpPr>
      <xdr:spPr>
        <a:xfrm>
          <a:off x="4314825" y="58293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2</a:t>
          </a:r>
        </a:p>
      </xdr:txBody>
    </xdr:sp>
    <xdr:clientData/>
  </xdr:twoCellAnchor>
  <xdr:twoCellAnchor>
    <xdr:from>
      <xdr:col>3</xdr:col>
      <xdr:colOff>38100</xdr:colOff>
      <xdr:row>48</xdr:row>
      <xdr:rowOff>133350</xdr:rowOff>
    </xdr:from>
    <xdr:to>
      <xdr:col>7</xdr:col>
      <xdr:colOff>552450</xdr:colOff>
      <xdr:row>52</xdr:row>
      <xdr:rowOff>123825</xdr:rowOff>
    </xdr:to>
    <xdr:sp>
      <xdr:nvSpPr>
        <xdr:cNvPr id="67" name="Text Box 166"/>
        <xdr:cNvSpPr txBox="1">
          <a:spLocks noChangeArrowheads="1"/>
        </xdr:cNvSpPr>
      </xdr:nvSpPr>
      <xdr:spPr>
        <a:xfrm>
          <a:off x="666750" y="7591425"/>
          <a:ext cx="3028950" cy="638175"/>
        </a:xfrm>
        <a:prstGeom prst="rect">
          <a:avLst/>
        </a:prstGeom>
        <a:noFill/>
        <a:ln w="9525" cmpd="sng">
          <a:noFill/>
        </a:ln>
      </xdr:spPr>
      <xdr:txBody>
        <a:bodyPr vertOverflow="clip" wrap="square" lIns="27432" tIns="22860" rIns="0" bIns="0"/>
        <a:p>
          <a:pPr algn="l">
            <a:defRPr/>
          </a:pPr>
          <a:r>
            <a:rPr lang="en-US" cap="none" sz="800" b="1" i="0" u="sng" baseline="0">
              <a:solidFill>
                <a:srgbClr val="000000"/>
              </a:solidFill>
              <a:latin typeface="Arial"/>
              <a:ea typeface="Arial"/>
              <a:cs typeface="Arial"/>
            </a:rPr>
            <a:t>Poikittaisjäykisteen osat
</a:t>
          </a:r>
          <a:r>
            <a:rPr lang="en-US" cap="none" sz="800" b="0" i="0" u="none" baseline="0">
              <a:solidFill>
                <a:srgbClr val="000000"/>
              </a:solidFill>
              <a:latin typeface="Arial"/>
              <a:ea typeface="Arial"/>
              <a:cs typeface="Arial"/>
            </a:rPr>
            <a:t>1 = välikapula
</a:t>
          </a:r>
          <a:r>
            <a:rPr lang="en-US" cap="none" sz="800" b="0" i="0" u="none" baseline="0">
              <a:solidFill>
                <a:srgbClr val="000000"/>
              </a:solidFill>
              <a:latin typeface="Arial"/>
              <a:ea typeface="Arial"/>
              <a:cs typeface="Arial"/>
            </a:rPr>
            <a:t>2 = ala- tai ylälaippa
</a:t>
          </a:r>
          <a:r>
            <a:rPr lang="en-US" cap="none" sz="800" b="0" i="0" u="none" baseline="0">
              <a:solidFill>
                <a:srgbClr val="000000"/>
              </a:solidFill>
              <a:latin typeface="Arial"/>
              <a:ea typeface="Arial"/>
              <a:cs typeface="Arial"/>
            </a:rPr>
            <a:t>3 = poikittaisjäykisteen limitetty jatkos
</a:t>
          </a:r>
        </a:p>
      </xdr:txBody>
    </xdr:sp>
    <xdr:clientData/>
  </xdr:twoCellAnchor>
  <xdr:twoCellAnchor>
    <xdr:from>
      <xdr:col>8</xdr:col>
      <xdr:colOff>590550</xdr:colOff>
      <xdr:row>41</xdr:row>
      <xdr:rowOff>9525</xdr:rowOff>
    </xdr:from>
    <xdr:to>
      <xdr:col>8</xdr:col>
      <xdr:colOff>590550</xdr:colOff>
      <xdr:row>42</xdr:row>
      <xdr:rowOff>104775</xdr:rowOff>
    </xdr:to>
    <xdr:sp>
      <xdr:nvSpPr>
        <xdr:cNvPr id="68" name="Line 169"/>
        <xdr:cNvSpPr>
          <a:spLocks/>
        </xdr:cNvSpPr>
      </xdr:nvSpPr>
      <xdr:spPr>
        <a:xfrm flipH="1">
          <a:off x="4362450" y="6334125"/>
          <a:ext cx="0" cy="257175"/>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42</xdr:row>
      <xdr:rowOff>114300</xdr:rowOff>
    </xdr:from>
    <xdr:to>
      <xdr:col>9</xdr:col>
      <xdr:colOff>152400</xdr:colOff>
      <xdr:row>43</xdr:row>
      <xdr:rowOff>133350</xdr:rowOff>
    </xdr:to>
    <xdr:sp>
      <xdr:nvSpPr>
        <xdr:cNvPr id="69" name="Text Box 170"/>
        <xdr:cNvSpPr txBox="1">
          <a:spLocks noChangeArrowheads="1"/>
        </xdr:cNvSpPr>
      </xdr:nvSpPr>
      <xdr:spPr>
        <a:xfrm>
          <a:off x="4314825" y="6600825"/>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a:t>
          </a:r>
        </a:p>
      </xdr:txBody>
    </xdr:sp>
    <xdr:clientData/>
  </xdr:twoCellAnchor>
  <xdr:twoCellAnchor>
    <xdr:from>
      <xdr:col>7</xdr:col>
      <xdr:colOff>19050</xdr:colOff>
      <xdr:row>38</xdr:row>
      <xdr:rowOff>142875</xdr:rowOff>
    </xdr:from>
    <xdr:to>
      <xdr:col>7</xdr:col>
      <xdr:colOff>19050</xdr:colOff>
      <xdr:row>40</xdr:row>
      <xdr:rowOff>85725</xdr:rowOff>
    </xdr:to>
    <xdr:sp>
      <xdr:nvSpPr>
        <xdr:cNvPr id="70" name="Line 171"/>
        <xdr:cNvSpPr>
          <a:spLocks/>
        </xdr:cNvSpPr>
      </xdr:nvSpPr>
      <xdr:spPr>
        <a:xfrm flipH="1">
          <a:off x="3162300" y="5981700"/>
          <a:ext cx="0" cy="26670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37</xdr:row>
      <xdr:rowOff>152400</xdr:rowOff>
    </xdr:from>
    <xdr:to>
      <xdr:col>7</xdr:col>
      <xdr:colOff>209550</xdr:colOff>
      <xdr:row>39</xdr:row>
      <xdr:rowOff>9525</xdr:rowOff>
    </xdr:to>
    <xdr:sp>
      <xdr:nvSpPr>
        <xdr:cNvPr id="71" name="Text Box 172"/>
        <xdr:cNvSpPr txBox="1">
          <a:spLocks noChangeArrowheads="1"/>
        </xdr:cNvSpPr>
      </xdr:nvSpPr>
      <xdr:spPr>
        <a:xfrm>
          <a:off x="3114675" y="5829300"/>
          <a:ext cx="238125" cy="1809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3</a:t>
          </a:r>
        </a:p>
      </xdr:txBody>
    </xdr:sp>
    <xdr:clientData/>
  </xdr:twoCellAnchor>
  <xdr:twoCellAnchor>
    <xdr:from>
      <xdr:col>7</xdr:col>
      <xdr:colOff>19050</xdr:colOff>
      <xdr:row>39</xdr:row>
      <xdr:rowOff>66675</xdr:rowOff>
    </xdr:from>
    <xdr:to>
      <xdr:col>7</xdr:col>
      <xdr:colOff>19050</xdr:colOff>
      <xdr:row>42</xdr:row>
      <xdr:rowOff>38100</xdr:rowOff>
    </xdr:to>
    <xdr:sp>
      <xdr:nvSpPr>
        <xdr:cNvPr id="72" name="Line 173"/>
        <xdr:cNvSpPr>
          <a:spLocks/>
        </xdr:cNvSpPr>
      </xdr:nvSpPr>
      <xdr:spPr>
        <a:xfrm flipH="1">
          <a:off x="3162300" y="6067425"/>
          <a:ext cx="0" cy="45720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40</xdr:row>
      <xdr:rowOff>123825</xdr:rowOff>
    </xdr:from>
    <xdr:to>
      <xdr:col>24</xdr:col>
      <xdr:colOff>0</xdr:colOff>
      <xdr:row>42</xdr:row>
      <xdr:rowOff>47625</xdr:rowOff>
    </xdr:to>
    <xdr:sp>
      <xdr:nvSpPr>
        <xdr:cNvPr id="1" name="Text Box 240"/>
        <xdr:cNvSpPr txBox="1">
          <a:spLocks noChangeArrowheads="1"/>
        </xdr:cNvSpPr>
      </xdr:nvSpPr>
      <xdr:spPr>
        <a:xfrm>
          <a:off x="6705600" y="6286500"/>
          <a:ext cx="5029200" cy="247650"/>
        </a:xfrm>
        <a:prstGeom prst="rect">
          <a:avLst/>
        </a:prstGeom>
        <a:solidFill>
          <a:srgbClr val="C0C0C0">
            <a:alpha val="50000"/>
          </a:srgbClr>
        </a:solidFill>
        <a:ln w="9525" cmpd="sng">
          <a:noFill/>
        </a:ln>
      </xdr:spPr>
      <xdr:txBody>
        <a:bodyPr vertOverflow="clip" wrap="square"/>
        <a:p>
          <a:pPr algn="ctr">
            <a:defRPr/>
          </a:pPr>
          <a:r>
            <a:rPr lang="en-US" cap="none" sz="800" b="1" i="0" u="none" baseline="0">
              <a:solidFill>
                <a:srgbClr val="000000"/>
              </a:solidFill>
              <a:latin typeface="Arial"/>
              <a:ea typeface="Arial"/>
              <a:cs typeface="Arial"/>
            </a:rPr>
            <a:t>HUOMIO! </a:t>
          </a:r>
          <a:r>
            <a:rPr lang="en-US" cap="none" sz="800" b="0" i="0" u="none" baseline="0">
              <a:solidFill>
                <a:srgbClr val="000000"/>
              </a:solidFill>
              <a:latin typeface="Arial"/>
              <a:ea typeface="Arial"/>
              <a:cs typeface="Arial"/>
            </a:rPr>
            <a:t>Välipohja tulee mitoittaa lisäksi staattisille kuormille murto- ja käyttörajatilassa. </a:t>
          </a:r>
        </a:p>
      </xdr:txBody>
    </xdr:sp>
    <xdr:clientData/>
  </xdr:twoCellAnchor>
  <xdr:twoCellAnchor>
    <xdr:from>
      <xdr:col>16</xdr:col>
      <xdr:colOff>28575</xdr:colOff>
      <xdr:row>15</xdr:row>
      <xdr:rowOff>0</xdr:rowOff>
    </xdr:from>
    <xdr:to>
      <xdr:col>19</xdr:col>
      <xdr:colOff>581025</xdr:colOff>
      <xdr:row>38</xdr:row>
      <xdr:rowOff>95250</xdr:rowOff>
    </xdr:to>
    <xdr:graphicFrame>
      <xdr:nvGraphicFramePr>
        <xdr:cNvPr id="2" name="Kaavio 244"/>
        <xdr:cNvGraphicFramePr/>
      </xdr:nvGraphicFramePr>
      <xdr:xfrm>
        <a:off x="6734175" y="2114550"/>
        <a:ext cx="2438400" cy="3819525"/>
      </xdr:xfrm>
      <a:graphic>
        <a:graphicData uri="http://schemas.openxmlformats.org/drawingml/2006/chart">
          <c:chart xmlns:c="http://schemas.openxmlformats.org/drawingml/2006/chart" r:id="rId1"/>
        </a:graphicData>
      </a:graphic>
    </xdr:graphicFrame>
    <xdr:clientData/>
  </xdr:twoCellAnchor>
  <xdr:twoCellAnchor>
    <xdr:from>
      <xdr:col>20</xdr:col>
      <xdr:colOff>38100</xdr:colOff>
      <xdr:row>15</xdr:row>
      <xdr:rowOff>0</xdr:rowOff>
    </xdr:from>
    <xdr:to>
      <xdr:col>23</xdr:col>
      <xdr:colOff>590550</xdr:colOff>
      <xdr:row>38</xdr:row>
      <xdr:rowOff>95250</xdr:rowOff>
    </xdr:to>
    <xdr:graphicFrame>
      <xdr:nvGraphicFramePr>
        <xdr:cNvPr id="3" name="Chart 255"/>
        <xdr:cNvGraphicFramePr/>
      </xdr:nvGraphicFramePr>
      <xdr:xfrm>
        <a:off x="9258300" y="2114550"/>
        <a:ext cx="2438400" cy="3819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533400</xdr:colOff>
      <xdr:row>11</xdr:row>
      <xdr:rowOff>19050</xdr:rowOff>
    </xdr:from>
    <xdr:to>
      <xdr:col>27</xdr:col>
      <xdr:colOff>85725</xdr:colOff>
      <xdr:row>29</xdr:row>
      <xdr:rowOff>66675</xdr:rowOff>
    </xdr:to>
    <xdr:pic>
      <xdr:nvPicPr>
        <xdr:cNvPr id="1" name="Picture 22"/>
        <xdr:cNvPicPr preferRelativeResize="1">
          <a:picLocks noChangeAspect="1"/>
        </xdr:cNvPicPr>
      </xdr:nvPicPr>
      <xdr:blipFill>
        <a:blip r:embed="rId1"/>
        <a:srcRect l="3645" r="1821"/>
        <a:stretch>
          <a:fillRect/>
        </a:stretch>
      </xdr:blipFill>
      <xdr:spPr>
        <a:xfrm>
          <a:off x="13468350" y="1485900"/>
          <a:ext cx="3952875" cy="2962275"/>
        </a:xfrm>
        <a:prstGeom prst="rect">
          <a:avLst/>
        </a:prstGeom>
        <a:noFill/>
        <a:ln w="9525" cmpd="sng">
          <a:noFill/>
        </a:ln>
      </xdr:spPr>
    </xdr:pic>
    <xdr:clientData/>
  </xdr:twoCellAnchor>
  <xdr:twoCellAnchor editAs="oneCell">
    <xdr:from>
      <xdr:col>14</xdr:col>
      <xdr:colOff>123825</xdr:colOff>
      <xdr:row>33</xdr:row>
      <xdr:rowOff>19050</xdr:rowOff>
    </xdr:from>
    <xdr:to>
      <xdr:col>20</xdr:col>
      <xdr:colOff>428625</xdr:colOff>
      <xdr:row>51</xdr:row>
      <xdr:rowOff>66675</xdr:rowOff>
    </xdr:to>
    <xdr:pic>
      <xdr:nvPicPr>
        <xdr:cNvPr id="2" name="Picture 23"/>
        <xdr:cNvPicPr preferRelativeResize="1">
          <a:picLocks noChangeAspect="1"/>
        </xdr:cNvPicPr>
      </xdr:nvPicPr>
      <xdr:blipFill>
        <a:blip r:embed="rId2"/>
        <a:srcRect l="2505"/>
        <a:stretch>
          <a:fillRect/>
        </a:stretch>
      </xdr:blipFill>
      <xdr:spPr>
        <a:xfrm>
          <a:off x="9286875" y="5048250"/>
          <a:ext cx="4076700" cy="2962275"/>
        </a:xfrm>
        <a:prstGeom prst="rect">
          <a:avLst/>
        </a:prstGeom>
        <a:noFill/>
        <a:ln w="9525" cmpd="sng">
          <a:noFill/>
        </a:ln>
      </xdr:spPr>
    </xdr:pic>
    <xdr:clientData/>
  </xdr:twoCellAnchor>
  <xdr:twoCellAnchor editAs="oneCell">
    <xdr:from>
      <xdr:col>20</xdr:col>
      <xdr:colOff>523875</xdr:colOff>
      <xdr:row>33</xdr:row>
      <xdr:rowOff>19050</xdr:rowOff>
    </xdr:from>
    <xdr:to>
      <xdr:col>27</xdr:col>
      <xdr:colOff>85725</xdr:colOff>
      <xdr:row>51</xdr:row>
      <xdr:rowOff>66675</xdr:rowOff>
    </xdr:to>
    <xdr:pic>
      <xdr:nvPicPr>
        <xdr:cNvPr id="3" name="Picture 29"/>
        <xdr:cNvPicPr preferRelativeResize="1">
          <a:picLocks noChangeAspect="1"/>
        </xdr:cNvPicPr>
      </xdr:nvPicPr>
      <xdr:blipFill>
        <a:blip r:embed="rId3"/>
        <a:srcRect l="3416" r="1821"/>
        <a:stretch>
          <a:fillRect/>
        </a:stretch>
      </xdr:blipFill>
      <xdr:spPr>
        <a:xfrm>
          <a:off x="13458825" y="5048250"/>
          <a:ext cx="3962400" cy="2962275"/>
        </a:xfrm>
        <a:prstGeom prst="rect">
          <a:avLst/>
        </a:prstGeom>
        <a:noFill/>
        <a:ln w="9525" cmpd="sng">
          <a:noFill/>
        </a:ln>
      </xdr:spPr>
    </xdr:pic>
    <xdr:clientData/>
  </xdr:twoCellAnchor>
  <xdr:twoCellAnchor editAs="oneCell">
    <xdr:from>
      <xdr:col>14</xdr:col>
      <xdr:colOff>161925</xdr:colOff>
      <xdr:row>11</xdr:row>
      <xdr:rowOff>0</xdr:rowOff>
    </xdr:from>
    <xdr:to>
      <xdr:col>20</xdr:col>
      <xdr:colOff>495300</xdr:colOff>
      <xdr:row>29</xdr:row>
      <xdr:rowOff>47625</xdr:rowOff>
    </xdr:to>
    <xdr:pic>
      <xdr:nvPicPr>
        <xdr:cNvPr id="4" name="Picture 21"/>
        <xdr:cNvPicPr preferRelativeResize="1">
          <a:picLocks noChangeAspect="1"/>
        </xdr:cNvPicPr>
      </xdr:nvPicPr>
      <xdr:blipFill>
        <a:blip r:embed="rId4"/>
        <a:srcRect l="1821"/>
        <a:stretch>
          <a:fillRect/>
        </a:stretch>
      </xdr:blipFill>
      <xdr:spPr>
        <a:xfrm>
          <a:off x="9324975" y="1466850"/>
          <a:ext cx="4105275" cy="2962275"/>
        </a:xfrm>
        <a:prstGeom prst="rect">
          <a:avLst/>
        </a:prstGeom>
        <a:noFill/>
        <a:ln w="9525" cmpd="sng">
          <a:noFill/>
        </a:ln>
      </xdr:spPr>
    </xdr:pic>
    <xdr:clientData/>
  </xdr:twoCellAnchor>
  <xdr:oneCellAnchor>
    <xdr:from>
      <xdr:col>2</xdr:col>
      <xdr:colOff>180975</xdr:colOff>
      <xdr:row>43</xdr:row>
      <xdr:rowOff>133350</xdr:rowOff>
    </xdr:from>
    <xdr:ext cx="2800350" cy="2419350"/>
    <xdr:sp>
      <xdr:nvSpPr>
        <xdr:cNvPr id="5" name="Text Box 36"/>
        <xdr:cNvSpPr txBox="1">
          <a:spLocks noChangeArrowheads="1"/>
        </xdr:cNvSpPr>
      </xdr:nvSpPr>
      <xdr:spPr>
        <a:xfrm>
          <a:off x="600075" y="6781800"/>
          <a:ext cx="2800350" cy="2419350"/>
        </a:xfrm>
        <a:prstGeom prst="rect">
          <a:avLst/>
        </a:prstGeom>
        <a:noFill/>
        <a:ln w="9525" cmpd="sng">
          <a:noFill/>
        </a:ln>
      </xdr:spPr>
      <xdr:txBody>
        <a:bodyPr vertOverflow="clip" wrap="square" lIns="27432" tIns="22860" rIns="0" bIns="0"/>
        <a:p>
          <a:pPr algn="l">
            <a:defRPr/>
          </a:pPr>
          <a:r>
            <a:rPr lang="en-US" cap="none" sz="800" b="1" i="0" u="sng" baseline="0">
              <a:solidFill>
                <a:srgbClr val="000000"/>
              </a:solidFill>
              <a:latin typeface="Arial"/>
              <a:ea typeface="Arial"/>
              <a:cs typeface="Arial"/>
            </a:rPr>
            <a:t>Vanerilevyjen merkintä</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Levytyyppi - Vakiopaksuus - Viilumäärä - Vakiomitat
</a:t>
          </a:r>
          <a:r>
            <a:rPr lang="en-US" cap="none" sz="800" b="0" i="0" u="none" baseline="0">
              <a:solidFill>
                <a:srgbClr val="000000"/>
              </a:solidFill>
              <a:latin typeface="Arial"/>
              <a:ea typeface="Arial"/>
              <a:cs typeface="Arial"/>
            </a:rPr>
            <a:t>(ensin esitetty "Vakiomitta" kertoo pintaviilun syysuunnan)
</a:t>
          </a:r>
          <a:r>
            <a:rPr lang="en-US" cap="none" sz="800" b="0"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Kerto-Q-levyjen merkintä</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Levytyyppi - Vakiopaksuus - Vakiomitat
</a:t>
          </a:r>
          <a:r>
            <a:rPr lang="en-US" cap="none" sz="800" b="0"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Lastulevyjen merkintä (myös OSB)</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Levytyyppi - Vakiopaksuus - Vakiomitat
</a:t>
          </a:r>
          <a:r>
            <a:rPr lang="en-US" cap="none" sz="800" b="0"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Kimmomoduulit levyn asennussuunnan mukaan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a:t>
          </a:r>
          <a:r>
            <a:rPr lang="en-US" cap="none" sz="800" b="0" i="0" u="none" baseline="-25000">
              <a:solidFill>
                <a:srgbClr val="000000"/>
              </a:solidFill>
              <a:latin typeface="Arial"/>
              <a:ea typeface="Arial"/>
              <a:cs typeface="Arial"/>
            </a:rPr>
            <a:t>c,mean,L</a:t>
          </a:r>
          <a:r>
            <a:rPr lang="en-US" cap="none" sz="800" b="0" i="0" u="none" baseline="0">
              <a:solidFill>
                <a:srgbClr val="000000"/>
              </a:solidFill>
              <a:latin typeface="Arial"/>
              <a:ea typeface="Arial"/>
              <a:cs typeface="Arial"/>
            </a:rPr>
            <a:t> = puristuskimmomoduuli suunnassa L
</a:t>
          </a:r>
          <a:r>
            <a:rPr lang="en-US" cap="none" sz="800" b="0" i="0" u="none" baseline="0">
              <a:solidFill>
                <a:srgbClr val="000000"/>
              </a:solidFill>
              <a:latin typeface="Arial"/>
              <a:ea typeface="Arial"/>
              <a:cs typeface="Arial"/>
            </a:rPr>
            <a:t>E</a:t>
          </a:r>
          <a:r>
            <a:rPr lang="en-US" cap="none" sz="800" b="0" i="0" u="none" baseline="-25000">
              <a:solidFill>
                <a:srgbClr val="000000"/>
              </a:solidFill>
              <a:latin typeface="Arial"/>
              <a:ea typeface="Arial"/>
              <a:cs typeface="Arial"/>
            </a:rPr>
            <a:t>c,mean,B</a:t>
          </a:r>
          <a:r>
            <a:rPr lang="en-US" cap="none" sz="800" b="0" i="0" u="none" baseline="0">
              <a:solidFill>
                <a:srgbClr val="000000"/>
              </a:solidFill>
              <a:latin typeface="Arial"/>
              <a:ea typeface="Arial"/>
              <a:cs typeface="Arial"/>
            </a:rPr>
            <a:t> = puristuskimmomoduuli suunnassa B
</a:t>
          </a:r>
          <a:r>
            <a:rPr lang="en-US" cap="none" sz="800" b="0" i="0" u="none" baseline="0">
              <a:solidFill>
                <a:srgbClr val="000000"/>
              </a:solidFill>
              <a:latin typeface="Arial"/>
              <a:ea typeface="Arial"/>
              <a:cs typeface="Arial"/>
            </a:rPr>
            <a:t>E</a:t>
          </a:r>
          <a:r>
            <a:rPr lang="en-US" cap="none" sz="800" b="0" i="0" u="none" baseline="-25000">
              <a:solidFill>
                <a:srgbClr val="000000"/>
              </a:solidFill>
              <a:latin typeface="Arial"/>
              <a:ea typeface="Arial"/>
              <a:cs typeface="Arial"/>
            </a:rPr>
            <a:t>mean,L</a:t>
          </a:r>
          <a:r>
            <a:rPr lang="en-US" cap="none" sz="800" b="0" i="0" u="none" baseline="0">
              <a:solidFill>
                <a:srgbClr val="000000"/>
              </a:solidFill>
              <a:latin typeface="Arial"/>
              <a:ea typeface="Arial"/>
              <a:cs typeface="Arial"/>
            </a:rPr>
            <a:t> = taivutuskimmomoduuli suunnassa L
</a:t>
          </a:r>
          <a:r>
            <a:rPr lang="en-US" cap="none" sz="800" b="0" i="0" u="none" baseline="0">
              <a:solidFill>
                <a:srgbClr val="000000"/>
              </a:solidFill>
              <a:latin typeface="Arial"/>
              <a:ea typeface="Arial"/>
              <a:cs typeface="Arial"/>
            </a:rPr>
            <a:t>E</a:t>
          </a:r>
          <a:r>
            <a:rPr lang="en-US" cap="none" sz="800" b="0" i="0" u="none" baseline="-25000">
              <a:solidFill>
                <a:srgbClr val="000000"/>
              </a:solidFill>
              <a:latin typeface="Arial"/>
              <a:ea typeface="Arial"/>
              <a:cs typeface="Arial"/>
            </a:rPr>
            <a:t>mean,B</a:t>
          </a:r>
          <a:r>
            <a:rPr lang="en-US" cap="none" sz="800" b="0" i="0" u="none" baseline="0">
              <a:solidFill>
                <a:srgbClr val="000000"/>
              </a:solidFill>
              <a:latin typeface="Arial"/>
              <a:ea typeface="Arial"/>
              <a:cs typeface="Arial"/>
            </a:rPr>
            <a:t> = taivutuskimmomoduuli suunnassa B
</a:t>
          </a:r>
        </a:p>
      </xdr:txBody>
    </xdr:sp>
    <xdr:clientData/>
  </xdr:oneCellAnchor>
  <xdr:twoCellAnchor>
    <xdr:from>
      <xdr:col>14</xdr:col>
      <xdr:colOff>228600</xdr:colOff>
      <xdr:row>3</xdr:row>
      <xdr:rowOff>85725</xdr:rowOff>
    </xdr:from>
    <xdr:to>
      <xdr:col>26</xdr:col>
      <xdr:colOff>609600</xdr:colOff>
      <xdr:row>7</xdr:row>
      <xdr:rowOff>0</xdr:rowOff>
    </xdr:to>
    <xdr:sp>
      <xdr:nvSpPr>
        <xdr:cNvPr id="6" name="Text Box 40"/>
        <xdr:cNvSpPr txBox="1">
          <a:spLocks noChangeArrowheads="1"/>
        </xdr:cNvSpPr>
      </xdr:nvSpPr>
      <xdr:spPr>
        <a:xfrm>
          <a:off x="9391650" y="504825"/>
          <a:ext cx="7924800" cy="409575"/>
        </a:xfrm>
        <a:prstGeom prst="rect">
          <a:avLst/>
        </a:prstGeom>
        <a:solidFill>
          <a:srgbClr val="C0C0C0">
            <a:alpha val="50000"/>
          </a:srgbClr>
        </a:solidFill>
        <a:ln w="9525" cmpd="sng">
          <a:noFill/>
        </a:ln>
      </xdr:spPr>
      <xdr:txBody>
        <a:bodyPr vertOverflow="clip" wrap="square"/>
        <a:p>
          <a:pPr algn="l">
            <a:defRPr/>
          </a:pPr>
          <a:r>
            <a:rPr lang="en-US" cap="none" sz="800" b="1" i="0" u="none" baseline="0">
              <a:solidFill>
                <a:srgbClr val="000000"/>
              </a:solidFill>
              <a:latin typeface="Arial"/>
              <a:ea typeface="Arial"/>
              <a:cs typeface="Arial"/>
            </a:rPr>
            <a:t>HUOMIO!</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Levyn asennussuunta vaikuttaa mitoitukseen. Asennussuunta on esitetty alla olevissa kuvissa. Suluissa oleva mitta ilmoittaa levyn pääsuunnan.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ul3"/>
  <dimension ref="A2:O315"/>
  <sheetViews>
    <sheetView showGridLines="0" showRowColHeaders="0" tabSelected="1" zoomScalePageLayoutView="0" workbookViewId="0" topLeftCell="A1">
      <selection activeCell="A1" sqref="A1"/>
    </sheetView>
  </sheetViews>
  <sheetFormatPr defaultColWidth="9.140625" defaultRowHeight="12.75"/>
  <cols>
    <col min="1" max="3" width="3.140625" style="9" customWidth="1"/>
    <col min="4" max="11" width="9.421875" style="9" customWidth="1"/>
    <col min="12" max="13" width="3.140625" style="9" customWidth="1"/>
    <col min="14" max="16384" width="9.140625" style="9" customWidth="1"/>
  </cols>
  <sheetData>
    <row r="2" spans="2:13" ht="12.75">
      <c r="B2" s="110"/>
      <c r="C2" s="111"/>
      <c r="D2" s="111"/>
      <c r="E2" s="111"/>
      <c r="F2" s="111"/>
      <c r="G2" s="111"/>
      <c r="H2" s="111"/>
      <c r="I2" s="111"/>
      <c r="J2" s="111"/>
      <c r="K2" s="782" t="str">
        <f>D19</f>
        <v>Versio 1.4</v>
      </c>
      <c r="L2" s="783"/>
      <c r="M2" s="112"/>
    </row>
    <row r="3" spans="2:13" ht="7.5" customHeight="1">
      <c r="B3" s="113"/>
      <c r="C3" s="114"/>
      <c r="D3" s="115"/>
      <c r="E3" s="115"/>
      <c r="F3" s="115"/>
      <c r="G3" s="115"/>
      <c r="H3" s="116"/>
      <c r="I3" s="115"/>
      <c r="J3" s="116"/>
      <c r="K3" s="116"/>
      <c r="L3" s="117"/>
      <c r="M3" s="118"/>
    </row>
    <row r="4" spans="2:13" ht="12" customHeight="1">
      <c r="B4" s="113"/>
      <c r="C4" s="119"/>
      <c r="D4" s="120"/>
      <c r="E4" s="120"/>
      <c r="F4" s="120"/>
      <c r="G4" s="120"/>
      <c r="H4" s="121"/>
      <c r="I4" s="121"/>
      <c r="J4" s="122"/>
      <c r="K4" s="120"/>
      <c r="L4" s="45"/>
      <c r="M4" s="123"/>
    </row>
    <row r="5" spans="2:13" ht="7.5" customHeight="1">
      <c r="B5" s="113"/>
      <c r="C5" s="124"/>
      <c r="D5" s="120"/>
      <c r="E5" s="120"/>
      <c r="F5" s="120"/>
      <c r="G5" s="120"/>
      <c r="H5" s="125"/>
      <c r="I5" s="125"/>
      <c r="J5" s="120"/>
      <c r="K5" s="120"/>
      <c r="L5" s="45"/>
      <c r="M5" s="123"/>
    </row>
    <row r="6" spans="2:13" ht="12" customHeight="1">
      <c r="B6" s="113"/>
      <c r="C6" s="124"/>
      <c r="D6" s="120"/>
      <c r="E6" s="120"/>
      <c r="F6" s="120"/>
      <c r="G6" s="120"/>
      <c r="H6" s="126"/>
      <c r="I6" s="127"/>
      <c r="J6" s="120"/>
      <c r="K6" s="120"/>
      <c r="L6" s="45"/>
      <c r="M6" s="123"/>
    </row>
    <row r="7" spans="2:13" ht="7.5" customHeight="1">
      <c r="B7" s="113"/>
      <c r="C7" s="52"/>
      <c r="D7" s="128"/>
      <c r="E7" s="128"/>
      <c r="F7" s="128"/>
      <c r="G7" s="128"/>
      <c r="H7" s="125"/>
      <c r="I7" s="128"/>
      <c r="J7" s="128"/>
      <c r="K7" s="128"/>
      <c r="L7" s="45"/>
      <c r="M7" s="129"/>
    </row>
    <row r="8" spans="2:13" ht="7.5" customHeight="1">
      <c r="B8" s="113"/>
      <c r="C8" s="119"/>
      <c r="D8" s="120"/>
      <c r="E8" s="120"/>
      <c r="F8" s="120"/>
      <c r="G8" s="120"/>
      <c r="H8" s="130"/>
      <c r="I8" s="120"/>
      <c r="J8" s="120"/>
      <c r="K8" s="120"/>
      <c r="L8" s="45"/>
      <c r="M8" s="131"/>
    </row>
    <row r="9" spans="2:13" ht="13.5" customHeight="1">
      <c r="B9" s="113"/>
      <c r="C9" s="124"/>
      <c r="D9" s="120"/>
      <c r="E9" s="120"/>
      <c r="F9" s="120"/>
      <c r="G9" s="120"/>
      <c r="H9" s="120"/>
      <c r="I9" s="120"/>
      <c r="J9" s="120"/>
      <c r="K9" s="120"/>
      <c r="L9" s="45"/>
      <c r="M9" s="131"/>
    </row>
    <row r="10" spans="2:13" ht="9.75" customHeight="1">
      <c r="B10" s="113"/>
      <c r="C10" s="124"/>
      <c r="D10" s="120"/>
      <c r="E10" s="120"/>
      <c r="F10" s="120"/>
      <c r="G10" s="120"/>
      <c r="H10" s="120"/>
      <c r="I10" s="120"/>
      <c r="J10" s="120"/>
      <c r="K10" s="120"/>
      <c r="L10" s="45"/>
      <c r="M10" s="131"/>
    </row>
    <row r="11" spans="2:13" ht="12.75" customHeight="1">
      <c r="B11" s="113"/>
      <c r="C11" s="124"/>
      <c r="D11" s="55"/>
      <c r="E11" s="55"/>
      <c r="F11" s="55"/>
      <c r="G11" s="55"/>
      <c r="H11" s="55"/>
      <c r="I11" s="55"/>
      <c r="J11" s="55"/>
      <c r="K11" s="55"/>
      <c r="L11" s="45"/>
      <c r="M11" s="129"/>
    </row>
    <row r="12" spans="2:13" ht="12.75" customHeight="1">
      <c r="B12" s="113"/>
      <c r="C12" s="124"/>
      <c r="D12" s="55"/>
      <c r="E12" s="55"/>
      <c r="F12" s="55"/>
      <c r="G12" s="55"/>
      <c r="H12" s="55"/>
      <c r="I12" s="55"/>
      <c r="J12" s="55"/>
      <c r="K12" s="55"/>
      <c r="L12" s="45"/>
      <c r="M12" s="129"/>
    </row>
    <row r="13" spans="2:13" ht="12.75" customHeight="1">
      <c r="B13" s="113"/>
      <c r="C13" s="132"/>
      <c r="D13" s="786" t="s">
        <v>440</v>
      </c>
      <c r="E13" s="788"/>
      <c r="F13" s="788"/>
      <c r="G13" s="788"/>
      <c r="H13" s="788"/>
      <c r="I13" s="788"/>
      <c r="J13" s="788"/>
      <c r="K13" s="788"/>
      <c r="L13" s="45"/>
      <c r="M13" s="129"/>
    </row>
    <row r="14" spans="2:13" ht="12.75" customHeight="1">
      <c r="B14" s="113"/>
      <c r="C14" s="132"/>
      <c r="D14" s="788"/>
      <c r="E14" s="788"/>
      <c r="F14" s="788"/>
      <c r="G14" s="788"/>
      <c r="H14" s="788"/>
      <c r="I14" s="788"/>
      <c r="J14" s="788"/>
      <c r="K14" s="788"/>
      <c r="L14" s="45"/>
      <c r="M14" s="129"/>
    </row>
    <row r="15" spans="2:13" ht="12.75" customHeight="1">
      <c r="B15" s="113"/>
      <c r="C15" s="132"/>
      <c r="D15" s="786" t="s">
        <v>86</v>
      </c>
      <c r="E15" s="787"/>
      <c r="F15" s="787"/>
      <c r="G15" s="787"/>
      <c r="H15" s="787"/>
      <c r="I15" s="787"/>
      <c r="J15" s="787"/>
      <c r="K15" s="787"/>
      <c r="L15" s="45"/>
      <c r="M15" s="129"/>
    </row>
    <row r="16" spans="2:13" ht="12.75" customHeight="1">
      <c r="B16" s="113"/>
      <c r="C16" s="132"/>
      <c r="D16" s="787"/>
      <c r="E16" s="787"/>
      <c r="F16" s="787"/>
      <c r="G16" s="787"/>
      <c r="H16" s="787"/>
      <c r="I16" s="787"/>
      <c r="J16" s="787"/>
      <c r="K16" s="787"/>
      <c r="L16" s="45"/>
      <c r="M16" s="129"/>
    </row>
    <row r="17" spans="2:13" ht="12.75" customHeight="1">
      <c r="B17" s="113"/>
      <c r="C17" s="132"/>
      <c r="D17" s="789"/>
      <c r="E17" s="787"/>
      <c r="F17" s="787"/>
      <c r="G17" s="787"/>
      <c r="H17" s="787"/>
      <c r="I17" s="787"/>
      <c r="J17" s="787"/>
      <c r="K17" s="787"/>
      <c r="L17" s="133"/>
      <c r="M17" s="134"/>
    </row>
    <row r="18" spans="2:13" ht="12.75" customHeight="1">
      <c r="B18" s="113"/>
      <c r="C18" s="135"/>
      <c r="D18" s="787"/>
      <c r="E18" s="787"/>
      <c r="F18" s="787"/>
      <c r="G18" s="787"/>
      <c r="H18" s="787"/>
      <c r="I18" s="787"/>
      <c r="J18" s="787"/>
      <c r="K18" s="787"/>
      <c r="L18" s="133"/>
      <c r="M18" s="134"/>
    </row>
    <row r="19" spans="2:13" ht="12.75" customHeight="1">
      <c r="B19" s="113"/>
      <c r="C19" s="136"/>
      <c r="D19" s="790" t="s">
        <v>474</v>
      </c>
      <c r="E19" s="790"/>
      <c r="F19" s="790"/>
      <c r="G19" s="790"/>
      <c r="H19" s="790"/>
      <c r="I19" s="790"/>
      <c r="J19" s="790"/>
      <c r="K19" s="790"/>
      <c r="L19" s="45"/>
      <c r="M19" s="129"/>
    </row>
    <row r="20" spans="2:13" ht="12.75" customHeight="1">
      <c r="B20" s="113"/>
      <c r="C20" s="132"/>
      <c r="D20" s="55"/>
      <c r="E20" s="55"/>
      <c r="F20" s="55"/>
      <c r="G20" s="55"/>
      <c r="H20" s="55"/>
      <c r="I20" s="55"/>
      <c r="J20" s="55"/>
      <c r="K20" s="55"/>
      <c r="L20" s="45"/>
      <c r="M20" s="129"/>
    </row>
    <row r="21" spans="2:13" ht="12.75" customHeight="1">
      <c r="B21" s="113"/>
      <c r="C21" s="132"/>
      <c r="D21" s="784">
        <v>42773</v>
      </c>
      <c r="E21" s="785"/>
      <c r="F21" s="785"/>
      <c r="G21" s="785"/>
      <c r="H21" s="785"/>
      <c r="I21" s="785"/>
      <c r="J21" s="785"/>
      <c r="K21" s="785"/>
      <c r="L21" s="45"/>
      <c r="M21" s="129"/>
    </row>
    <row r="22" spans="2:13" ht="12.75" customHeight="1">
      <c r="B22" s="113"/>
      <c r="C22" s="132"/>
      <c r="D22" s="55"/>
      <c r="E22" s="55"/>
      <c r="F22" s="55"/>
      <c r="G22" s="55"/>
      <c r="H22" s="55"/>
      <c r="I22" s="55"/>
      <c r="J22" s="55"/>
      <c r="K22" s="55"/>
      <c r="L22" s="45"/>
      <c r="M22" s="129"/>
    </row>
    <row r="23" spans="2:13" ht="12.75" customHeight="1">
      <c r="B23" s="113"/>
      <c r="C23" s="132"/>
      <c r="D23" s="137"/>
      <c r="E23" s="137"/>
      <c r="F23" s="137"/>
      <c r="G23" s="137"/>
      <c r="H23" s="137"/>
      <c r="I23" s="137"/>
      <c r="J23" s="137"/>
      <c r="K23" s="137"/>
      <c r="L23" s="45"/>
      <c r="M23" s="129"/>
    </row>
    <row r="24" spans="2:13" ht="12.75" customHeight="1">
      <c r="B24" s="113"/>
      <c r="C24" s="132"/>
      <c r="D24" s="83"/>
      <c r="E24" s="83"/>
      <c r="F24" s="83"/>
      <c r="G24" s="83"/>
      <c r="H24" s="83"/>
      <c r="I24" s="83"/>
      <c r="J24" s="83"/>
      <c r="K24" s="83"/>
      <c r="L24" s="45"/>
      <c r="M24" s="129"/>
    </row>
    <row r="25" spans="2:13" ht="12.75" customHeight="1">
      <c r="B25" s="113"/>
      <c r="C25" s="132"/>
      <c r="D25" s="83"/>
      <c r="E25" s="83"/>
      <c r="F25" s="83"/>
      <c r="G25" s="83"/>
      <c r="H25" s="83"/>
      <c r="I25" s="83"/>
      <c r="J25" s="83"/>
      <c r="K25" s="83"/>
      <c r="L25" s="45"/>
      <c r="M25" s="129"/>
    </row>
    <row r="26" spans="2:13" ht="12.75" customHeight="1">
      <c r="B26" s="113"/>
      <c r="C26" s="132"/>
      <c r="D26" s="137"/>
      <c r="E26" s="137"/>
      <c r="F26" s="138"/>
      <c r="G26" s="137"/>
      <c r="H26" s="139"/>
      <c r="I26" s="140"/>
      <c r="J26" s="141"/>
      <c r="K26" s="140"/>
      <c r="L26" s="45"/>
      <c r="M26" s="129"/>
    </row>
    <row r="27" spans="2:13" ht="12.75" customHeight="1">
      <c r="B27" s="113"/>
      <c r="C27" s="124"/>
      <c r="D27" s="83"/>
      <c r="E27" s="83"/>
      <c r="F27" s="83"/>
      <c r="G27" s="83"/>
      <c r="H27" s="83"/>
      <c r="I27" s="83"/>
      <c r="J27" s="83"/>
      <c r="K27" s="83"/>
      <c r="L27" s="45"/>
      <c r="M27" s="129"/>
    </row>
    <row r="28" spans="2:13" ht="12.75" customHeight="1">
      <c r="B28" s="113"/>
      <c r="C28" s="124"/>
      <c r="D28" s="83"/>
      <c r="E28" s="83"/>
      <c r="F28" s="83"/>
      <c r="G28" s="83"/>
      <c r="H28" s="83"/>
      <c r="I28" s="83"/>
      <c r="J28" s="83"/>
      <c r="K28" s="83"/>
      <c r="L28" s="45"/>
      <c r="M28" s="129"/>
    </row>
    <row r="29" spans="2:13" ht="12.75" customHeight="1">
      <c r="B29" s="113"/>
      <c r="C29" s="124"/>
      <c r="D29" s="83"/>
      <c r="E29" s="83"/>
      <c r="F29" s="83"/>
      <c r="G29" s="83"/>
      <c r="H29" s="83"/>
      <c r="I29" s="83"/>
      <c r="J29" s="83"/>
      <c r="K29" s="83"/>
      <c r="L29" s="45"/>
      <c r="M29" s="129"/>
    </row>
    <row r="30" spans="2:13" ht="12.75" customHeight="1">
      <c r="B30" s="113"/>
      <c r="C30" s="124"/>
      <c r="D30" s="83"/>
      <c r="E30" s="83"/>
      <c r="F30" s="83"/>
      <c r="G30" s="83"/>
      <c r="H30" s="83"/>
      <c r="I30" s="83"/>
      <c r="J30" s="83"/>
      <c r="K30" s="83"/>
      <c r="L30" s="45"/>
      <c r="M30" s="129"/>
    </row>
    <row r="31" spans="2:13" ht="12.75" customHeight="1">
      <c r="B31" s="113"/>
      <c r="C31" s="132"/>
      <c r="D31" s="83"/>
      <c r="E31" s="83"/>
      <c r="F31" s="83"/>
      <c r="G31" s="83"/>
      <c r="H31" s="83"/>
      <c r="I31" s="83"/>
      <c r="J31" s="83"/>
      <c r="K31" s="83"/>
      <c r="L31" s="45"/>
      <c r="M31" s="129"/>
    </row>
    <row r="32" spans="2:13" ht="12.75" customHeight="1">
      <c r="B32" s="113"/>
      <c r="C32" s="142"/>
      <c r="D32" s="83"/>
      <c r="E32" s="83"/>
      <c r="F32" s="83"/>
      <c r="G32" s="83"/>
      <c r="H32" s="83"/>
      <c r="I32" s="83"/>
      <c r="J32" s="83"/>
      <c r="K32" s="83"/>
      <c r="L32" s="45"/>
      <c r="M32" s="129"/>
    </row>
    <row r="33" spans="2:13" ht="12.75" customHeight="1">
      <c r="B33" s="113"/>
      <c r="C33" s="142"/>
      <c r="D33" s="83"/>
      <c r="E33" s="83"/>
      <c r="F33" s="83"/>
      <c r="G33" s="83"/>
      <c r="H33" s="83"/>
      <c r="I33" s="83"/>
      <c r="J33" s="83"/>
      <c r="K33" s="83"/>
      <c r="L33" s="45"/>
      <c r="M33" s="129"/>
    </row>
    <row r="34" spans="2:13" ht="12.75" customHeight="1">
      <c r="B34" s="113"/>
      <c r="C34" s="143"/>
      <c r="D34" s="83"/>
      <c r="E34" s="83"/>
      <c r="F34" s="83"/>
      <c r="G34" s="83"/>
      <c r="H34" s="83"/>
      <c r="I34" s="83"/>
      <c r="J34" s="83"/>
      <c r="K34" s="83"/>
      <c r="L34" s="45"/>
      <c r="M34" s="129"/>
    </row>
    <row r="35" spans="2:13" ht="12.75" customHeight="1">
      <c r="B35" s="113"/>
      <c r="C35" s="142"/>
      <c r="D35" s="144"/>
      <c r="E35" s="144"/>
      <c r="F35" s="144"/>
      <c r="G35" s="144"/>
      <c r="H35" s="144"/>
      <c r="I35" s="144"/>
      <c r="J35" s="144"/>
      <c r="K35" s="144"/>
      <c r="L35" s="45"/>
      <c r="M35" s="129"/>
    </row>
    <row r="36" spans="2:13" ht="12.75" customHeight="1">
      <c r="B36" s="113"/>
      <c r="C36" s="142"/>
      <c r="D36" s="144"/>
      <c r="E36" s="144"/>
      <c r="F36" s="144"/>
      <c r="G36" s="144"/>
      <c r="H36" s="145"/>
      <c r="I36" s="144"/>
      <c r="J36" s="144"/>
      <c r="K36" s="144"/>
      <c r="L36" s="45"/>
      <c r="M36" s="129"/>
    </row>
    <row r="37" spans="2:13" ht="12.75" customHeight="1">
      <c r="B37" s="113"/>
      <c r="C37" s="142"/>
      <c r="D37" s="83"/>
      <c r="E37" s="83"/>
      <c r="F37" s="83"/>
      <c r="G37" s="83"/>
      <c r="H37" s="83"/>
      <c r="I37" s="83"/>
      <c r="J37" s="83"/>
      <c r="K37" s="83"/>
      <c r="L37" s="45"/>
      <c r="M37" s="146"/>
    </row>
    <row r="38" spans="2:13" ht="12.75" customHeight="1">
      <c r="B38" s="113"/>
      <c r="C38" s="142"/>
      <c r="D38" s="147"/>
      <c r="E38" s="83"/>
      <c r="F38" s="83"/>
      <c r="G38" s="83"/>
      <c r="H38" s="83"/>
      <c r="I38" s="83"/>
      <c r="J38" s="83"/>
      <c r="K38" s="137"/>
      <c r="L38" s="45"/>
      <c r="M38" s="129"/>
    </row>
    <row r="39" spans="2:13" ht="12.75" customHeight="1">
      <c r="B39" s="113"/>
      <c r="C39" s="148"/>
      <c r="D39" s="137"/>
      <c r="E39" s="83"/>
      <c r="F39" s="83"/>
      <c r="G39" s="83"/>
      <c r="H39" s="83"/>
      <c r="I39" s="83"/>
      <c r="J39" s="83"/>
      <c r="K39" s="137"/>
      <c r="L39" s="45"/>
      <c r="M39" s="129"/>
    </row>
    <row r="40" spans="2:13" ht="12.75" customHeight="1">
      <c r="B40" s="113"/>
      <c r="C40" s="148"/>
      <c r="D40" s="137"/>
      <c r="E40" s="83"/>
      <c r="F40" s="83"/>
      <c r="G40" s="83"/>
      <c r="H40" s="83"/>
      <c r="I40" s="83"/>
      <c r="J40" s="83"/>
      <c r="K40" s="137"/>
      <c r="L40" s="45"/>
      <c r="M40" s="129"/>
    </row>
    <row r="41" spans="2:13" ht="12.75" customHeight="1">
      <c r="B41" s="113"/>
      <c r="C41" s="148"/>
      <c r="D41" s="137"/>
      <c r="E41" s="83"/>
      <c r="F41" s="83"/>
      <c r="G41" s="83"/>
      <c r="H41" s="83"/>
      <c r="I41" s="83"/>
      <c r="J41" s="83"/>
      <c r="K41" s="149"/>
      <c r="L41" s="45"/>
      <c r="M41" s="129"/>
    </row>
    <row r="42" spans="2:13" ht="12.75" customHeight="1">
      <c r="B42" s="113"/>
      <c r="C42" s="150"/>
      <c r="D42" s="149"/>
      <c r="E42" s="149"/>
      <c r="F42" s="138"/>
      <c r="G42" s="137"/>
      <c r="H42" s="151"/>
      <c r="I42" s="152"/>
      <c r="J42" s="152"/>
      <c r="K42" s="152"/>
      <c r="L42" s="45"/>
      <c r="M42" s="129"/>
    </row>
    <row r="43" spans="2:13" ht="12.75" customHeight="1">
      <c r="B43" s="113"/>
      <c r="C43" s="143"/>
      <c r="D43" s="152"/>
      <c r="E43" s="152"/>
      <c r="F43" s="152"/>
      <c r="G43" s="152"/>
      <c r="H43" s="152"/>
      <c r="I43" s="152"/>
      <c r="J43" s="152"/>
      <c r="K43" s="152"/>
      <c r="L43" s="45"/>
      <c r="M43" s="129"/>
    </row>
    <row r="44" spans="2:13" ht="12.75" customHeight="1">
      <c r="B44" s="113"/>
      <c r="C44" s="153"/>
      <c r="D44" s="152"/>
      <c r="E44" s="152"/>
      <c r="F44" s="152"/>
      <c r="G44" s="152"/>
      <c r="H44" s="145"/>
      <c r="I44" s="144"/>
      <c r="J44" s="144"/>
      <c r="K44" s="144"/>
      <c r="L44" s="45"/>
      <c r="M44" s="129"/>
    </row>
    <row r="45" spans="2:13" ht="12.75" customHeight="1">
      <c r="B45" s="113"/>
      <c r="C45" s="154"/>
      <c r="D45" s="147"/>
      <c r="E45" s="137"/>
      <c r="F45" s="137"/>
      <c r="G45" s="137"/>
      <c r="H45" s="137"/>
      <c r="I45" s="137"/>
      <c r="J45" s="137"/>
      <c r="K45" s="137"/>
      <c r="L45" s="45"/>
      <c r="M45" s="129"/>
    </row>
    <row r="46" spans="2:13" ht="12.75" customHeight="1">
      <c r="B46" s="113"/>
      <c r="C46" s="132"/>
      <c r="D46" s="137"/>
      <c r="E46" s="137"/>
      <c r="F46" s="137"/>
      <c r="G46" s="137"/>
      <c r="H46" s="137"/>
      <c r="I46" s="137"/>
      <c r="J46" s="137"/>
      <c r="K46" s="137"/>
      <c r="L46" s="45"/>
      <c r="M46" s="129"/>
    </row>
    <row r="47" spans="2:13" ht="12.75" customHeight="1">
      <c r="B47" s="113"/>
      <c r="C47" s="132"/>
      <c r="D47" s="137"/>
      <c r="E47" s="137"/>
      <c r="F47" s="137"/>
      <c r="G47" s="137"/>
      <c r="H47" s="147"/>
      <c r="I47" s="137"/>
      <c r="J47" s="137"/>
      <c r="K47" s="137"/>
      <c r="L47" s="45"/>
      <c r="M47" s="129"/>
    </row>
    <row r="48" spans="2:13" ht="12.75" customHeight="1">
      <c r="B48" s="113"/>
      <c r="C48" s="132"/>
      <c r="D48" s="137"/>
      <c r="E48" s="55"/>
      <c r="F48" s="55"/>
      <c r="G48" s="55"/>
      <c r="H48" s="55"/>
      <c r="I48" s="55"/>
      <c r="J48" s="55"/>
      <c r="K48" s="149"/>
      <c r="L48" s="45"/>
      <c r="M48" s="129"/>
    </row>
    <row r="49" spans="2:13" ht="12.75" customHeight="1">
      <c r="B49" s="113"/>
      <c r="C49" s="135"/>
      <c r="D49" s="149"/>
      <c r="E49" s="55"/>
      <c r="F49" s="55"/>
      <c r="G49" s="55"/>
      <c r="H49" s="55"/>
      <c r="I49" s="55"/>
      <c r="J49" s="55"/>
      <c r="K49" s="149"/>
      <c r="L49" s="45"/>
      <c r="M49" s="129"/>
    </row>
    <row r="50" spans="2:13" ht="12.75" customHeight="1">
      <c r="B50" s="113"/>
      <c r="C50" s="135"/>
      <c r="D50" s="149"/>
      <c r="E50" s="137"/>
      <c r="F50" s="137"/>
      <c r="G50" s="137"/>
      <c r="H50" s="155"/>
      <c r="I50" s="149"/>
      <c r="J50" s="149"/>
      <c r="K50" s="149"/>
      <c r="L50" s="45"/>
      <c r="M50" s="129"/>
    </row>
    <row r="51" spans="2:13" ht="12.75" customHeight="1">
      <c r="B51" s="113"/>
      <c r="C51" s="135"/>
      <c r="D51" s="149"/>
      <c r="E51" s="137"/>
      <c r="F51" s="137"/>
      <c r="G51" s="137"/>
      <c r="H51" s="137"/>
      <c r="I51" s="137"/>
      <c r="J51" s="137"/>
      <c r="K51" s="149"/>
      <c r="L51" s="45"/>
      <c r="M51" s="129"/>
    </row>
    <row r="52" spans="2:13" ht="12.75" customHeight="1">
      <c r="B52" s="113"/>
      <c r="C52" s="135"/>
      <c r="D52" s="147"/>
      <c r="E52" s="137"/>
      <c r="F52" s="137"/>
      <c r="G52" s="137"/>
      <c r="H52" s="137"/>
      <c r="I52" s="137"/>
      <c r="J52" s="137"/>
      <c r="K52" s="137"/>
      <c r="L52" s="45"/>
      <c r="M52" s="129"/>
    </row>
    <row r="53" spans="2:13" ht="12.75" customHeight="1">
      <c r="B53" s="113"/>
      <c r="C53" s="132"/>
      <c r="D53" s="137"/>
      <c r="E53" s="137"/>
      <c r="F53" s="137"/>
      <c r="G53" s="137"/>
      <c r="H53" s="147"/>
      <c r="I53" s="137"/>
      <c r="J53" s="137"/>
      <c r="K53" s="137"/>
      <c r="L53" s="45"/>
      <c r="M53" s="129"/>
    </row>
    <row r="54" spans="2:13" ht="12.75" customHeight="1">
      <c r="B54" s="113"/>
      <c r="C54" s="132"/>
      <c r="D54" s="137"/>
      <c r="E54" s="137"/>
      <c r="F54" s="137"/>
      <c r="G54" s="137"/>
      <c r="H54" s="155"/>
      <c r="I54" s="149"/>
      <c r="J54" s="149"/>
      <c r="K54" s="137"/>
      <c r="L54" s="45"/>
      <c r="M54" s="129"/>
    </row>
    <row r="55" spans="2:13" ht="12.75" customHeight="1">
      <c r="B55" s="113"/>
      <c r="C55" s="42"/>
      <c r="D55" s="27"/>
      <c r="E55" s="137"/>
      <c r="F55" s="137"/>
      <c r="G55" s="137"/>
      <c r="H55" s="137"/>
      <c r="I55" s="137"/>
      <c r="J55" s="137"/>
      <c r="K55" s="41"/>
      <c r="L55" s="45"/>
      <c r="M55" s="129"/>
    </row>
    <row r="56" spans="2:13" ht="12.75" customHeight="1">
      <c r="B56" s="113"/>
      <c r="C56" s="42"/>
      <c r="D56" s="41"/>
      <c r="E56" s="41"/>
      <c r="F56" s="43"/>
      <c r="G56" s="35"/>
      <c r="H56" s="44"/>
      <c r="I56" s="41"/>
      <c r="J56" s="41"/>
      <c r="K56" s="41"/>
      <c r="L56" s="45"/>
      <c r="M56" s="129"/>
    </row>
    <row r="57" spans="2:13" ht="12.75" customHeight="1">
      <c r="B57" s="113"/>
      <c r="C57" s="42"/>
      <c r="D57" s="41"/>
      <c r="E57" s="41"/>
      <c r="F57" s="41"/>
      <c r="G57" s="41"/>
      <c r="H57" s="44"/>
      <c r="I57" s="41"/>
      <c r="J57" s="41"/>
      <c r="K57" s="41"/>
      <c r="L57" s="45"/>
      <c r="M57" s="129"/>
    </row>
    <row r="58" spans="2:13" ht="12.75" customHeight="1">
      <c r="B58" s="113"/>
      <c r="C58" s="42"/>
      <c r="D58" s="41"/>
      <c r="E58" s="41"/>
      <c r="F58" s="41"/>
      <c r="G58" s="41"/>
      <c r="H58" s="41"/>
      <c r="I58" s="41"/>
      <c r="J58" s="41"/>
      <c r="K58" s="41"/>
      <c r="L58" s="45"/>
      <c r="M58" s="129"/>
    </row>
    <row r="59" spans="2:13" ht="12.75" customHeight="1">
      <c r="B59" s="113"/>
      <c r="C59" s="46"/>
      <c r="D59" s="47"/>
      <c r="E59" s="47"/>
      <c r="F59" s="47"/>
      <c r="G59" s="48"/>
      <c r="H59" s="47"/>
      <c r="I59" s="49"/>
      <c r="J59" s="49"/>
      <c r="K59" s="48"/>
      <c r="L59" s="50"/>
      <c r="M59" s="129"/>
    </row>
    <row r="60" spans="2:13" ht="12.75" customHeight="1" thickBot="1">
      <c r="B60" s="156"/>
      <c r="C60" s="157"/>
      <c r="D60" s="157"/>
      <c r="E60" s="157"/>
      <c r="F60" s="157"/>
      <c r="G60" s="157"/>
      <c r="H60" s="157"/>
      <c r="I60" s="157"/>
      <c r="J60" s="157"/>
      <c r="K60" s="157"/>
      <c r="L60" s="157"/>
      <c r="M60" s="158"/>
    </row>
    <row r="61" ht="12.75" customHeight="1" thickTop="1"/>
    <row r="62" ht="12.75" customHeight="1"/>
    <row r="63" spans="1:13" ht="12.75" customHeight="1">
      <c r="A63" s="20"/>
      <c r="B63" s="20"/>
      <c r="C63" s="20"/>
      <c r="D63" s="20"/>
      <c r="E63" s="20"/>
      <c r="F63" s="20"/>
      <c r="G63" s="20"/>
      <c r="H63" s="20"/>
      <c r="I63" s="20"/>
      <c r="J63" s="20"/>
      <c r="K63" s="20"/>
      <c r="L63" s="20"/>
      <c r="M63" s="20"/>
    </row>
    <row r="64" spans="1:13" ht="12.75" customHeight="1">
      <c r="A64" s="20"/>
      <c r="B64" s="17"/>
      <c r="C64" s="17"/>
      <c r="D64" s="30"/>
      <c r="E64" s="17"/>
      <c r="F64" s="17"/>
      <c r="G64" s="18"/>
      <c r="H64" s="17"/>
      <c r="I64" s="17"/>
      <c r="J64" s="17"/>
      <c r="K64" s="20"/>
      <c r="L64" s="20"/>
      <c r="M64" s="20"/>
    </row>
    <row r="65" spans="1:13" ht="12.75" customHeight="1">
      <c r="A65" s="20"/>
      <c r="B65" s="17"/>
      <c r="C65" s="17"/>
      <c r="D65" s="17"/>
      <c r="E65" s="17"/>
      <c r="F65" s="17"/>
      <c r="G65" s="17"/>
      <c r="H65" s="17"/>
      <c r="I65" s="17"/>
      <c r="J65" s="17"/>
      <c r="K65" s="20"/>
      <c r="L65" s="20"/>
      <c r="M65" s="20"/>
    </row>
    <row r="66" spans="1:13" ht="12.75" customHeight="1">
      <c r="A66" s="20"/>
      <c r="B66" s="17"/>
      <c r="C66" s="17"/>
      <c r="D66" s="17"/>
      <c r="E66" s="17"/>
      <c r="F66" s="17"/>
      <c r="G66" s="17"/>
      <c r="H66" s="17"/>
      <c r="I66" s="17"/>
      <c r="J66" s="17"/>
      <c r="K66" s="20"/>
      <c r="L66" s="20"/>
      <c r="M66" s="20"/>
    </row>
    <row r="67" spans="1:13" ht="12.75" customHeight="1">
      <c r="A67" s="20"/>
      <c r="B67" s="17"/>
      <c r="C67" s="17"/>
      <c r="D67" s="17"/>
      <c r="E67" s="17"/>
      <c r="F67" s="17"/>
      <c r="G67" s="17"/>
      <c r="H67" s="17"/>
      <c r="I67" s="17"/>
      <c r="J67" s="17"/>
      <c r="K67" s="20"/>
      <c r="L67" s="20"/>
      <c r="M67" s="20"/>
    </row>
    <row r="68" spans="1:15" ht="12.75" customHeight="1">
      <c r="A68" s="20"/>
      <c r="B68" s="17"/>
      <c r="C68" s="17"/>
      <c r="D68" s="17"/>
      <c r="E68" s="17"/>
      <c r="F68" s="17"/>
      <c r="G68" s="17"/>
      <c r="H68" s="17"/>
      <c r="I68" s="17"/>
      <c r="J68" s="17"/>
      <c r="K68" s="17"/>
      <c r="L68" s="17"/>
      <c r="M68" s="17"/>
      <c r="N68" s="12"/>
      <c r="O68" s="12"/>
    </row>
    <row r="69" spans="1:15" ht="12.75" customHeight="1">
      <c r="A69" s="20"/>
      <c r="B69" s="17"/>
      <c r="C69" s="17"/>
      <c r="D69" s="30"/>
      <c r="E69" s="17"/>
      <c r="F69" s="17"/>
      <c r="G69" s="18"/>
      <c r="H69" s="17"/>
      <c r="I69" s="17"/>
      <c r="J69" s="17"/>
      <c r="K69" s="17"/>
      <c r="L69" s="17"/>
      <c r="M69" s="17"/>
      <c r="N69" s="12"/>
      <c r="O69" s="12"/>
    </row>
    <row r="70" spans="1:15" ht="12.75" customHeight="1">
      <c r="A70" s="20"/>
      <c r="B70" s="17"/>
      <c r="C70" s="17"/>
      <c r="D70" s="17"/>
      <c r="E70" s="17"/>
      <c r="F70" s="17"/>
      <c r="G70" s="18"/>
      <c r="H70" s="17"/>
      <c r="I70" s="17"/>
      <c r="J70" s="17"/>
      <c r="K70" s="17"/>
      <c r="L70" s="17"/>
      <c r="M70" s="17"/>
      <c r="N70" s="12"/>
      <c r="O70" s="12"/>
    </row>
    <row r="71" spans="1:15" ht="12.75" customHeight="1">
      <c r="A71" s="20"/>
      <c r="B71" s="17"/>
      <c r="C71" s="17"/>
      <c r="D71" s="17"/>
      <c r="E71" s="17"/>
      <c r="F71" s="17"/>
      <c r="G71" s="18"/>
      <c r="H71" s="17"/>
      <c r="I71" s="17"/>
      <c r="J71" s="17"/>
      <c r="K71" s="17"/>
      <c r="L71" s="17"/>
      <c r="M71" s="17"/>
      <c r="N71" s="12"/>
      <c r="O71" s="12"/>
    </row>
    <row r="72" spans="1:15" ht="12.75" customHeight="1">
      <c r="A72" s="20"/>
      <c r="B72" s="17"/>
      <c r="C72" s="17"/>
      <c r="D72" s="17"/>
      <c r="E72" s="17"/>
      <c r="F72" s="17"/>
      <c r="G72" s="17"/>
      <c r="H72" s="29"/>
      <c r="I72" s="17"/>
      <c r="J72" s="17"/>
      <c r="K72" s="17"/>
      <c r="L72" s="17"/>
      <c r="M72" s="17"/>
      <c r="N72" s="12"/>
      <c r="O72" s="12"/>
    </row>
    <row r="73" spans="1:15" ht="12.75" customHeight="1">
      <c r="A73" s="20"/>
      <c r="B73" s="17"/>
      <c r="C73" s="17"/>
      <c r="D73" s="17"/>
      <c r="E73" s="17"/>
      <c r="F73" s="17"/>
      <c r="G73" s="17"/>
      <c r="H73" s="29"/>
      <c r="I73" s="17"/>
      <c r="J73" s="17"/>
      <c r="K73" s="17"/>
      <c r="L73" s="17"/>
      <c r="M73" s="17"/>
      <c r="N73" s="12"/>
      <c r="O73" s="12"/>
    </row>
    <row r="74" spans="1:15" ht="12.75" customHeight="1">
      <c r="A74" s="20"/>
      <c r="B74" s="17"/>
      <c r="C74" s="17"/>
      <c r="D74" s="17"/>
      <c r="E74" s="17"/>
      <c r="F74" s="17"/>
      <c r="G74" s="17"/>
      <c r="H74" s="17"/>
      <c r="I74" s="17"/>
      <c r="J74" s="17"/>
      <c r="K74" s="17"/>
      <c r="L74" s="17"/>
      <c r="M74" s="17"/>
      <c r="N74" s="12"/>
      <c r="O74" s="12"/>
    </row>
    <row r="75" spans="1:15" ht="12.75" customHeight="1">
      <c r="A75" s="20"/>
      <c r="B75" s="17"/>
      <c r="C75" s="17"/>
      <c r="D75" s="30"/>
      <c r="E75" s="17"/>
      <c r="F75" s="17"/>
      <c r="G75" s="18"/>
      <c r="H75" s="17"/>
      <c r="I75" s="17"/>
      <c r="J75" s="17"/>
      <c r="K75" s="17"/>
      <c r="L75" s="17"/>
      <c r="M75" s="17"/>
      <c r="N75" s="12"/>
      <c r="O75" s="12"/>
    </row>
    <row r="76" spans="1:15" ht="12.75" customHeight="1">
      <c r="A76" s="20"/>
      <c r="B76" s="17"/>
      <c r="C76" s="17"/>
      <c r="D76" s="17"/>
      <c r="E76" s="17"/>
      <c r="F76" s="17"/>
      <c r="G76" s="17"/>
      <c r="H76" s="17"/>
      <c r="I76" s="17"/>
      <c r="J76" s="17"/>
      <c r="K76" s="17"/>
      <c r="L76" s="17"/>
      <c r="M76" s="17"/>
      <c r="N76" s="12"/>
      <c r="O76" s="12"/>
    </row>
    <row r="77" spans="1:15" ht="12.75" customHeight="1">
      <c r="A77" s="20"/>
      <c r="B77" s="17"/>
      <c r="C77" s="17"/>
      <c r="D77" s="17"/>
      <c r="E77" s="17"/>
      <c r="F77" s="17"/>
      <c r="G77" s="17"/>
      <c r="H77" s="17"/>
      <c r="I77" s="17"/>
      <c r="J77" s="17"/>
      <c r="K77" s="17"/>
      <c r="L77" s="17"/>
      <c r="M77" s="17"/>
      <c r="N77" s="12"/>
      <c r="O77" s="12"/>
    </row>
    <row r="78" spans="1:15" ht="12.75" customHeight="1">
      <c r="A78" s="20"/>
      <c r="B78" s="17"/>
      <c r="C78" s="17"/>
      <c r="D78" s="17"/>
      <c r="E78" s="17"/>
      <c r="F78" s="17"/>
      <c r="G78" s="17"/>
      <c r="H78" s="17"/>
      <c r="I78" s="17"/>
      <c r="J78" s="17"/>
      <c r="K78" s="17"/>
      <c r="L78" s="17"/>
      <c r="M78" s="17"/>
      <c r="N78" s="12"/>
      <c r="O78" s="12"/>
    </row>
    <row r="79" spans="1:15" ht="12.75" customHeight="1">
      <c r="A79" s="20"/>
      <c r="B79" s="17"/>
      <c r="C79" s="17"/>
      <c r="D79" s="17"/>
      <c r="E79" s="17"/>
      <c r="F79" s="17"/>
      <c r="G79" s="17"/>
      <c r="H79" s="17"/>
      <c r="I79" s="17"/>
      <c r="J79" s="17"/>
      <c r="K79" s="17"/>
      <c r="L79" s="17"/>
      <c r="M79" s="17"/>
      <c r="N79" s="12"/>
      <c r="O79" s="12"/>
    </row>
    <row r="80" spans="1:15" ht="12.75" customHeight="1">
      <c r="A80" s="20"/>
      <c r="B80" s="17"/>
      <c r="C80" s="17"/>
      <c r="D80" s="17"/>
      <c r="E80" s="17"/>
      <c r="F80" s="17"/>
      <c r="G80" s="17"/>
      <c r="H80" s="17"/>
      <c r="I80" s="17"/>
      <c r="J80" s="17"/>
      <c r="K80" s="17"/>
      <c r="L80" s="17"/>
      <c r="M80" s="17"/>
      <c r="N80" s="12"/>
      <c r="O80" s="12"/>
    </row>
    <row r="81" spans="1:15" ht="12.75" customHeight="1">
      <c r="A81" s="20"/>
      <c r="B81" s="17"/>
      <c r="C81" s="17"/>
      <c r="D81" s="30"/>
      <c r="E81" s="17"/>
      <c r="F81" s="17"/>
      <c r="G81" s="18"/>
      <c r="H81" s="17"/>
      <c r="I81" s="17"/>
      <c r="J81" s="17"/>
      <c r="K81" s="17"/>
      <c r="L81" s="17"/>
      <c r="M81" s="17"/>
      <c r="N81" s="12"/>
      <c r="O81" s="12"/>
    </row>
    <row r="82" spans="1:15" ht="12.75" customHeight="1">
      <c r="A82" s="20"/>
      <c r="B82" s="17"/>
      <c r="C82" s="17"/>
      <c r="D82" s="25"/>
      <c r="E82" s="17"/>
      <c r="F82" s="17"/>
      <c r="G82" s="18"/>
      <c r="H82" s="17"/>
      <c r="I82" s="17"/>
      <c r="J82" s="17"/>
      <c r="K82" s="17"/>
      <c r="L82" s="17"/>
      <c r="M82" s="17"/>
      <c r="N82" s="12"/>
      <c r="O82" s="12"/>
    </row>
    <row r="83" spans="1:15" ht="12.75" customHeight="1">
      <c r="A83" s="20"/>
      <c r="B83" s="17"/>
      <c r="C83" s="17"/>
      <c r="D83" s="17"/>
      <c r="E83" s="17"/>
      <c r="F83" s="17"/>
      <c r="G83" s="18"/>
      <c r="H83" s="17"/>
      <c r="I83" s="17"/>
      <c r="J83" s="17"/>
      <c r="K83" s="17"/>
      <c r="L83" s="17"/>
      <c r="M83" s="17"/>
      <c r="N83" s="12"/>
      <c r="O83" s="12"/>
    </row>
    <row r="84" spans="1:15" ht="12.75" customHeight="1">
      <c r="A84" s="20"/>
      <c r="B84" s="17"/>
      <c r="C84" s="17"/>
      <c r="D84" s="17"/>
      <c r="E84" s="17"/>
      <c r="F84" s="17"/>
      <c r="G84" s="17"/>
      <c r="H84" s="17"/>
      <c r="I84" s="17"/>
      <c r="J84" s="17"/>
      <c r="K84" s="17"/>
      <c r="L84" s="17"/>
      <c r="M84" s="17"/>
      <c r="N84" s="12"/>
      <c r="O84" s="12"/>
    </row>
    <row r="85" spans="1:15" ht="12.75" customHeight="1">
      <c r="A85" s="20"/>
      <c r="B85" s="17"/>
      <c r="C85" s="17"/>
      <c r="D85" s="31"/>
      <c r="E85" s="12"/>
      <c r="F85" s="12"/>
      <c r="G85" s="12"/>
      <c r="H85" s="12"/>
      <c r="I85" s="17"/>
      <c r="J85" s="17"/>
      <c r="K85" s="17"/>
      <c r="L85" s="17"/>
      <c r="M85" s="17"/>
      <c r="N85" s="12"/>
      <c r="O85" s="12"/>
    </row>
    <row r="86" spans="1:15" ht="12.75" customHeight="1">
      <c r="A86" s="20"/>
      <c r="B86" s="17"/>
      <c r="C86" s="17"/>
      <c r="D86" s="25"/>
      <c r="E86" s="17"/>
      <c r="F86" s="17"/>
      <c r="G86" s="22"/>
      <c r="H86" s="29"/>
      <c r="I86" s="18"/>
      <c r="J86" s="17"/>
      <c r="K86" s="12"/>
      <c r="L86" s="22"/>
      <c r="M86" s="22"/>
      <c r="N86" s="12"/>
      <c r="O86" s="12"/>
    </row>
    <row r="87" spans="1:15" ht="12.75" customHeight="1">
      <c r="A87" s="20"/>
      <c r="B87" s="17"/>
      <c r="C87" s="17"/>
      <c r="D87" s="19"/>
      <c r="E87" s="17"/>
      <c r="F87" s="17"/>
      <c r="G87" s="21"/>
      <c r="H87" s="29"/>
      <c r="I87" s="18"/>
      <c r="J87" s="17"/>
      <c r="K87" s="17"/>
      <c r="L87" s="17"/>
      <c r="M87" s="17"/>
      <c r="N87" s="12"/>
      <c r="O87" s="12"/>
    </row>
    <row r="88" spans="1:15" ht="12.75" customHeight="1">
      <c r="A88" s="20"/>
      <c r="B88" s="17"/>
      <c r="C88" s="17"/>
      <c r="D88" s="19"/>
      <c r="E88" s="17"/>
      <c r="F88" s="17"/>
      <c r="G88" s="21"/>
      <c r="H88" s="29"/>
      <c r="I88" s="18"/>
      <c r="J88" s="17"/>
      <c r="K88" s="17"/>
      <c r="L88" s="17"/>
      <c r="M88" s="17"/>
      <c r="N88" s="12"/>
      <c r="O88" s="12"/>
    </row>
    <row r="89" spans="1:15" ht="12.75" customHeight="1">
      <c r="A89" s="20"/>
      <c r="B89" s="17"/>
      <c r="C89" s="17"/>
      <c r="D89" s="17"/>
      <c r="E89" s="17"/>
      <c r="F89" s="17"/>
      <c r="G89" s="22"/>
      <c r="H89" s="29"/>
      <c r="I89" s="12"/>
      <c r="J89" s="12"/>
      <c r="K89" s="17"/>
      <c r="L89" s="17"/>
      <c r="M89" s="17"/>
      <c r="N89" s="12"/>
      <c r="O89" s="12"/>
    </row>
    <row r="90" spans="1:15" ht="12.75" customHeight="1">
      <c r="A90" s="20"/>
      <c r="B90" s="17"/>
      <c r="C90" s="17"/>
      <c r="D90" s="30"/>
      <c r="E90" s="17"/>
      <c r="F90" s="17"/>
      <c r="G90" s="18"/>
      <c r="H90" s="17"/>
      <c r="I90" s="17"/>
      <c r="J90" s="17"/>
      <c r="K90" s="17"/>
      <c r="L90" s="17"/>
      <c r="M90" s="17"/>
      <c r="N90" s="12"/>
      <c r="O90" s="12"/>
    </row>
    <row r="91" spans="1:15" ht="12.75" customHeight="1">
      <c r="A91" s="20"/>
      <c r="B91" s="17"/>
      <c r="C91" s="17"/>
      <c r="D91" s="17"/>
      <c r="E91" s="17"/>
      <c r="F91" s="17"/>
      <c r="G91" s="18"/>
      <c r="H91" s="17"/>
      <c r="I91" s="17"/>
      <c r="J91" s="17"/>
      <c r="K91" s="17"/>
      <c r="L91" s="17"/>
      <c r="M91" s="17"/>
      <c r="N91" s="12"/>
      <c r="O91" s="12"/>
    </row>
    <row r="92" spans="1:15" ht="12.75" customHeight="1">
      <c r="A92" s="20"/>
      <c r="B92" s="17"/>
      <c r="C92" s="17"/>
      <c r="D92" s="17"/>
      <c r="E92" s="17"/>
      <c r="F92" s="17"/>
      <c r="G92" s="32"/>
      <c r="H92" s="17"/>
      <c r="I92" s="17"/>
      <c r="J92" s="17"/>
      <c r="K92" s="17"/>
      <c r="L92" s="17"/>
      <c r="M92" s="17"/>
      <c r="N92" s="12"/>
      <c r="O92" s="12"/>
    </row>
    <row r="93" spans="1:15" ht="12.75" customHeight="1">
      <c r="A93" s="20"/>
      <c r="B93" s="17"/>
      <c r="C93" s="17"/>
      <c r="D93" s="17"/>
      <c r="E93" s="17"/>
      <c r="F93" s="17"/>
      <c r="G93" s="18"/>
      <c r="H93" s="17"/>
      <c r="I93" s="17"/>
      <c r="J93" s="17"/>
      <c r="K93" s="17"/>
      <c r="L93" s="17"/>
      <c r="M93" s="17"/>
      <c r="N93" s="12"/>
      <c r="O93" s="12"/>
    </row>
    <row r="94" spans="1:15" ht="12.75" customHeight="1">
      <c r="A94" s="20"/>
      <c r="B94" s="17"/>
      <c r="C94" s="17"/>
      <c r="D94" s="17"/>
      <c r="E94" s="17"/>
      <c r="F94" s="17"/>
      <c r="G94" s="17"/>
      <c r="H94" s="17"/>
      <c r="I94" s="17"/>
      <c r="J94" s="17"/>
      <c r="K94" s="17"/>
      <c r="L94" s="17"/>
      <c r="M94" s="17"/>
      <c r="N94" s="12"/>
      <c r="O94" s="12"/>
    </row>
    <row r="95" spans="1:15" ht="12.75" customHeight="1">
      <c r="A95" s="20"/>
      <c r="B95" s="17"/>
      <c r="C95" s="17"/>
      <c r="D95" s="17"/>
      <c r="E95" s="17"/>
      <c r="F95" s="17"/>
      <c r="G95" s="17"/>
      <c r="H95" s="17"/>
      <c r="I95" s="17"/>
      <c r="J95" s="17"/>
      <c r="K95" s="17"/>
      <c r="L95" s="17"/>
      <c r="M95" s="17"/>
      <c r="N95" s="12"/>
      <c r="O95" s="12"/>
    </row>
    <row r="96" spans="1:15" ht="12.75" customHeight="1">
      <c r="A96" s="20"/>
      <c r="B96" s="17"/>
      <c r="C96" s="17"/>
      <c r="D96" s="31"/>
      <c r="E96" s="17"/>
      <c r="F96" s="17"/>
      <c r="G96" s="17"/>
      <c r="H96" s="17"/>
      <c r="I96" s="17"/>
      <c r="J96" s="17"/>
      <c r="K96" s="22"/>
      <c r="L96" s="17"/>
      <c r="M96" s="17"/>
      <c r="N96" s="12"/>
      <c r="O96" s="12"/>
    </row>
    <row r="97" spans="1:15" ht="12.75" customHeight="1">
      <c r="A97" s="20"/>
      <c r="B97" s="17"/>
      <c r="C97" s="17"/>
      <c r="D97" s="18"/>
      <c r="E97" s="17"/>
      <c r="F97" s="17"/>
      <c r="G97" s="17"/>
      <c r="H97" s="17"/>
      <c r="I97" s="17"/>
      <c r="J97" s="17"/>
      <c r="K97" s="17"/>
      <c r="L97" s="17"/>
      <c r="M97" s="17"/>
      <c r="N97" s="12"/>
      <c r="O97" s="12"/>
    </row>
    <row r="98" spans="1:15" ht="12.75" customHeight="1">
      <c r="A98" s="20"/>
      <c r="B98" s="17"/>
      <c r="C98" s="17"/>
      <c r="D98" s="18"/>
      <c r="E98" s="17"/>
      <c r="F98" s="17"/>
      <c r="G98" s="17"/>
      <c r="H98" s="17"/>
      <c r="I98" s="17"/>
      <c r="J98" s="17"/>
      <c r="K98" s="17"/>
      <c r="L98" s="17"/>
      <c r="M98" s="17"/>
      <c r="N98" s="12"/>
      <c r="O98" s="12"/>
    </row>
    <row r="99" spans="1:15" ht="12.75" customHeight="1">
      <c r="A99" s="20"/>
      <c r="B99" s="17"/>
      <c r="C99" s="17"/>
      <c r="D99" s="18"/>
      <c r="E99" s="17"/>
      <c r="F99" s="17"/>
      <c r="G99" s="17"/>
      <c r="H99" s="17"/>
      <c r="I99" s="17"/>
      <c r="J99" s="17"/>
      <c r="K99" s="17"/>
      <c r="L99" s="17"/>
      <c r="M99" s="17"/>
      <c r="N99" s="12"/>
      <c r="O99" s="12"/>
    </row>
    <row r="100" spans="1:15" ht="12.75" customHeight="1">
      <c r="A100" s="20"/>
      <c r="B100" s="17"/>
      <c r="C100" s="17"/>
      <c r="D100" s="17"/>
      <c r="E100" s="17"/>
      <c r="F100" s="17"/>
      <c r="G100" s="17"/>
      <c r="H100" s="17"/>
      <c r="I100" s="17"/>
      <c r="J100" s="17"/>
      <c r="K100" s="17"/>
      <c r="L100" s="17"/>
      <c r="M100" s="17"/>
      <c r="N100" s="12"/>
      <c r="O100" s="12"/>
    </row>
    <row r="101" spans="1:15" ht="12.75" customHeight="1">
      <c r="A101" s="20"/>
      <c r="B101" s="17"/>
      <c r="C101" s="17"/>
      <c r="D101" s="17"/>
      <c r="E101" s="17"/>
      <c r="F101" s="17"/>
      <c r="G101" s="18"/>
      <c r="H101" s="17"/>
      <c r="I101" s="17"/>
      <c r="J101" s="17"/>
      <c r="K101" s="17"/>
      <c r="L101" s="17"/>
      <c r="M101" s="17"/>
      <c r="N101" s="12"/>
      <c r="O101" s="12"/>
    </row>
    <row r="102" spans="1:15" ht="12.75" customHeight="1">
      <c r="A102" s="20"/>
      <c r="B102" s="17"/>
      <c r="C102" s="17"/>
      <c r="D102" s="31"/>
      <c r="E102" s="25"/>
      <c r="F102" s="25"/>
      <c r="G102" s="25"/>
      <c r="H102" s="25"/>
      <c r="I102" s="17"/>
      <c r="J102" s="17"/>
      <c r="K102" s="17"/>
      <c r="L102" s="17"/>
      <c r="M102" s="17"/>
      <c r="N102" s="12"/>
      <c r="O102" s="12"/>
    </row>
    <row r="103" spans="1:15" ht="12.75" customHeight="1">
      <c r="A103" s="20"/>
      <c r="B103" s="17"/>
      <c r="C103" s="17"/>
      <c r="D103" s="17"/>
      <c r="E103" s="17"/>
      <c r="F103" s="17"/>
      <c r="G103" s="17"/>
      <c r="H103" s="17"/>
      <c r="I103" s="25"/>
      <c r="J103" s="25"/>
      <c r="K103" s="17"/>
      <c r="L103" s="17"/>
      <c r="M103" s="17"/>
      <c r="N103" s="12"/>
      <c r="O103" s="12"/>
    </row>
    <row r="104" spans="1:15" ht="12.75" customHeight="1">
      <c r="A104" s="20"/>
      <c r="B104" s="17"/>
      <c r="C104" s="17"/>
      <c r="D104" s="17"/>
      <c r="E104" s="17"/>
      <c r="F104" s="17"/>
      <c r="G104" s="17"/>
      <c r="H104" s="17"/>
      <c r="I104" s="17"/>
      <c r="J104" s="17"/>
      <c r="K104" s="17"/>
      <c r="L104" s="17"/>
      <c r="M104" s="17"/>
      <c r="N104" s="12"/>
      <c r="O104" s="12"/>
    </row>
    <row r="105" spans="1:15" ht="12.75" customHeight="1">
      <c r="A105" s="20"/>
      <c r="B105" s="17"/>
      <c r="C105" s="17"/>
      <c r="D105" s="17"/>
      <c r="E105" s="17"/>
      <c r="F105" s="17"/>
      <c r="G105" s="17"/>
      <c r="H105" s="12"/>
      <c r="I105" s="17"/>
      <c r="J105" s="17"/>
      <c r="K105" s="17"/>
      <c r="L105" s="17"/>
      <c r="M105" s="17"/>
      <c r="N105" s="12"/>
      <c r="O105" s="12"/>
    </row>
    <row r="106" spans="1:15" ht="12.75" customHeight="1">
      <c r="A106" s="20"/>
      <c r="B106" s="17"/>
      <c r="C106" s="17"/>
      <c r="D106" s="31"/>
      <c r="E106" s="25"/>
      <c r="F106" s="25"/>
      <c r="G106" s="25"/>
      <c r="H106" s="25"/>
      <c r="I106" s="17"/>
      <c r="J106" s="17"/>
      <c r="K106" s="17"/>
      <c r="L106" s="17"/>
      <c r="M106" s="17"/>
      <c r="N106" s="12"/>
      <c r="O106" s="12"/>
    </row>
    <row r="107" spans="1:15" ht="12.75" customHeight="1">
      <c r="A107" s="20"/>
      <c r="B107" s="17"/>
      <c r="C107" s="17"/>
      <c r="D107" s="17"/>
      <c r="E107" s="22"/>
      <c r="F107" s="17"/>
      <c r="G107" s="17"/>
      <c r="H107" s="17"/>
      <c r="I107" s="17"/>
      <c r="J107" s="17"/>
      <c r="K107" s="17"/>
      <c r="L107" s="17"/>
      <c r="M107" s="17"/>
      <c r="N107" s="12"/>
      <c r="O107" s="12"/>
    </row>
    <row r="108" spans="1:15" ht="12.75" customHeight="1">
      <c r="A108" s="20"/>
      <c r="B108" s="17"/>
      <c r="C108" s="17"/>
      <c r="D108" s="17"/>
      <c r="E108" s="17"/>
      <c r="F108" s="17"/>
      <c r="G108" s="18"/>
      <c r="H108" s="17"/>
      <c r="I108" s="17"/>
      <c r="J108" s="17"/>
      <c r="K108" s="17"/>
      <c r="L108" s="17"/>
      <c r="M108" s="17"/>
      <c r="N108" s="12"/>
      <c r="O108" s="12"/>
    </row>
    <row r="109" spans="1:15" ht="12.75" customHeight="1">
      <c r="A109" s="20"/>
      <c r="B109" s="17"/>
      <c r="C109" s="17"/>
      <c r="D109" s="31"/>
      <c r="E109" s="31"/>
      <c r="F109" s="31"/>
      <c r="G109" s="31"/>
      <c r="H109" s="31"/>
      <c r="I109" s="17"/>
      <c r="J109" s="17"/>
      <c r="K109" s="17"/>
      <c r="L109" s="17"/>
      <c r="M109" s="17"/>
      <c r="N109" s="12"/>
      <c r="O109" s="12"/>
    </row>
    <row r="110" spans="1:15" ht="12.75" customHeight="1">
      <c r="A110" s="20"/>
      <c r="B110" s="17"/>
      <c r="C110" s="17"/>
      <c r="D110" s="17"/>
      <c r="E110" s="17"/>
      <c r="F110" s="17"/>
      <c r="G110" s="17"/>
      <c r="H110" s="17"/>
      <c r="I110" s="17"/>
      <c r="J110" s="17"/>
      <c r="K110" s="17"/>
      <c r="L110" s="17"/>
      <c r="M110" s="17"/>
      <c r="N110" s="12"/>
      <c r="O110" s="12"/>
    </row>
    <row r="111" spans="1:15" ht="12.75" customHeight="1">
      <c r="A111" s="20"/>
      <c r="B111" s="17"/>
      <c r="C111" s="17"/>
      <c r="D111" s="17"/>
      <c r="E111" s="17"/>
      <c r="F111" s="17"/>
      <c r="G111" s="17"/>
      <c r="H111" s="17"/>
      <c r="I111" s="17"/>
      <c r="J111" s="17"/>
      <c r="K111" s="17"/>
      <c r="L111" s="17"/>
      <c r="M111" s="17"/>
      <c r="N111" s="12"/>
      <c r="O111" s="12"/>
    </row>
    <row r="112" spans="1:15" ht="12.75" customHeight="1">
      <c r="A112" s="20"/>
      <c r="B112" s="17"/>
      <c r="C112" s="17"/>
      <c r="D112" s="17"/>
      <c r="E112" s="17"/>
      <c r="F112" s="17"/>
      <c r="G112" s="17"/>
      <c r="H112" s="17"/>
      <c r="I112" s="17"/>
      <c r="J112" s="17"/>
      <c r="K112" s="17"/>
      <c r="L112" s="17"/>
      <c r="M112" s="17"/>
      <c r="N112" s="12"/>
      <c r="O112" s="12"/>
    </row>
    <row r="113" spans="1:15" ht="12.75" customHeight="1">
      <c r="A113" s="20"/>
      <c r="B113" s="17"/>
      <c r="C113" s="17"/>
      <c r="D113" s="17"/>
      <c r="E113" s="17"/>
      <c r="F113" s="17"/>
      <c r="G113" s="17"/>
      <c r="H113" s="17"/>
      <c r="I113" s="17"/>
      <c r="J113" s="17"/>
      <c r="K113" s="17"/>
      <c r="L113" s="17"/>
      <c r="M113" s="17"/>
      <c r="N113" s="12"/>
      <c r="O113" s="12"/>
    </row>
    <row r="114" spans="1:15" ht="12.75" customHeight="1">
      <c r="A114" s="20"/>
      <c r="B114" s="17"/>
      <c r="C114" s="17"/>
      <c r="D114" s="31"/>
      <c r="E114" s="31"/>
      <c r="F114" s="31"/>
      <c r="G114" s="31"/>
      <c r="H114" s="31"/>
      <c r="I114" s="31"/>
      <c r="J114" s="17"/>
      <c r="K114" s="17"/>
      <c r="L114" s="17"/>
      <c r="M114" s="17"/>
      <c r="N114" s="12"/>
      <c r="O114" s="12"/>
    </row>
    <row r="115" spans="1:15" ht="12.75" customHeight="1">
      <c r="A115" s="20"/>
      <c r="B115" s="17"/>
      <c r="C115" s="17"/>
      <c r="D115" s="17"/>
      <c r="E115" s="17"/>
      <c r="F115" s="17"/>
      <c r="G115" s="17"/>
      <c r="H115" s="17"/>
      <c r="I115" s="17"/>
      <c r="J115" s="17"/>
      <c r="K115" s="17"/>
      <c r="L115" s="17"/>
      <c r="M115" s="17"/>
      <c r="N115" s="12"/>
      <c r="O115" s="12"/>
    </row>
    <row r="116" spans="1:15" ht="12.75" customHeight="1">
      <c r="A116" s="20"/>
      <c r="B116" s="17"/>
      <c r="C116" s="17"/>
      <c r="D116" s="17"/>
      <c r="E116" s="17"/>
      <c r="F116" s="17"/>
      <c r="G116" s="17"/>
      <c r="H116" s="17"/>
      <c r="I116" s="17"/>
      <c r="J116" s="17"/>
      <c r="K116" s="17"/>
      <c r="L116" s="17"/>
      <c r="M116" s="17"/>
      <c r="N116" s="12"/>
      <c r="O116" s="12"/>
    </row>
    <row r="117" spans="1:15" ht="12.75" customHeight="1">
      <c r="A117" s="20"/>
      <c r="B117" s="17"/>
      <c r="C117" s="17"/>
      <c r="D117" s="17"/>
      <c r="E117" s="17"/>
      <c r="F117" s="17"/>
      <c r="G117" s="17"/>
      <c r="H117" s="17"/>
      <c r="I117" s="17"/>
      <c r="J117" s="17"/>
      <c r="K117" s="17"/>
      <c r="L117" s="17"/>
      <c r="M117" s="17"/>
      <c r="N117" s="12"/>
      <c r="O117" s="12"/>
    </row>
    <row r="118" spans="1:15" ht="12.75" customHeight="1">
      <c r="A118" s="20"/>
      <c r="B118" s="17"/>
      <c r="C118" s="17"/>
      <c r="D118" s="17"/>
      <c r="E118" s="17"/>
      <c r="F118" s="17"/>
      <c r="G118" s="17"/>
      <c r="H118" s="17"/>
      <c r="I118" s="17"/>
      <c r="J118" s="17"/>
      <c r="K118" s="17"/>
      <c r="L118" s="17"/>
      <c r="M118" s="17"/>
      <c r="N118" s="12"/>
      <c r="O118" s="12"/>
    </row>
    <row r="119" spans="1:15" ht="12.75" customHeight="1">
      <c r="A119" s="20"/>
      <c r="B119" s="17"/>
      <c r="C119" s="17"/>
      <c r="D119" s="31"/>
      <c r="E119" s="31"/>
      <c r="F119" s="31"/>
      <c r="G119" s="31"/>
      <c r="H119" s="31"/>
      <c r="I119" s="31"/>
      <c r="J119" s="17"/>
      <c r="K119" s="17"/>
      <c r="L119" s="17"/>
      <c r="M119" s="17"/>
      <c r="N119" s="12"/>
      <c r="O119" s="12"/>
    </row>
    <row r="120" spans="1:15" ht="12.75" customHeight="1">
      <c r="A120" s="20"/>
      <c r="B120" s="17"/>
      <c r="C120" s="17"/>
      <c r="D120" s="31"/>
      <c r="E120" s="31"/>
      <c r="F120" s="31"/>
      <c r="G120" s="31"/>
      <c r="H120" s="31"/>
      <c r="I120" s="17"/>
      <c r="J120" s="17"/>
      <c r="K120" s="17"/>
      <c r="L120" s="17"/>
      <c r="M120" s="17"/>
      <c r="N120" s="12"/>
      <c r="O120" s="12"/>
    </row>
    <row r="121" spans="1:15" ht="12.75" customHeight="1">
      <c r="A121" s="20"/>
      <c r="B121" s="17"/>
      <c r="C121" s="17"/>
      <c r="D121" s="17"/>
      <c r="E121" s="17"/>
      <c r="F121" s="17"/>
      <c r="G121" s="17"/>
      <c r="H121" s="17"/>
      <c r="I121" s="17"/>
      <c r="J121" s="17"/>
      <c r="K121" s="17"/>
      <c r="L121" s="17"/>
      <c r="M121" s="17"/>
      <c r="N121" s="12"/>
      <c r="O121" s="12"/>
    </row>
    <row r="122" spans="1:15" ht="12.75" customHeight="1">
      <c r="A122" s="20"/>
      <c r="B122" s="17"/>
      <c r="C122" s="17"/>
      <c r="D122" s="17"/>
      <c r="E122" s="17"/>
      <c r="F122" s="17"/>
      <c r="G122" s="17"/>
      <c r="H122" s="29"/>
      <c r="I122" s="17"/>
      <c r="J122" s="17"/>
      <c r="K122" s="17"/>
      <c r="L122" s="17"/>
      <c r="M122" s="17"/>
      <c r="N122" s="12"/>
      <c r="O122" s="12"/>
    </row>
    <row r="123" spans="1:15" ht="12.75" customHeight="1">
      <c r="A123" s="20"/>
      <c r="B123" s="17"/>
      <c r="C123" s="17"/>
      <c r="D123" s="17"/>
      <c r="E123" s="17"/>
      <c r="F123" s="17"/>
      <c r="G123" s="17"/>
      <c r="H123" s="29"/>
      <c r="I123" s="17"/>
      <c r="J123" s="17"/>
      <c r="K123" s="17"/>
      <c r="L123" s="17"/>
      <c r="M123" s="17"/>
      <c r="N123" s="12"/>
      <c r="O123" s="12"/>
    </row>
    <row r="124" spans="1:15" ht="12.75" customHeight="1">
      <c r="A124" s="20"/>
      <c r="B124" s="17"/>
      <c r="C124" s="17"/>
      <c r="D124" s="31"/>
      <c r="E124" s="25"/>
      <c r="F124" s="25"/>
      <c r="G124" s="21"/>
      <c r="H124" s="25"/>
      <c r="I124" s="17"/>
      <c r="J124" s="17"/>
      <c r="K124" s="17"/>
      <c r="L124" s="17"/>
      <c r="M124" s="17"/>
      <c r="N124" s="12"/>
      <c r="O124" s="12"/>
    </row>
    <row r="125" spans="1:15" ht="12.75" customHeight="1">
      <c r="A125" s="20"/>
      <c r="B125" s="17"/>
      <c r="C125" s="17"/>
      <c r="D125" s="24"/>
      <c r="E125" s="17"/>
      <c r="F125" s="17"/>
      <c r="G125" s="17"/>
      <c r="H125" s="17"/>
      <c r="I125" s="17"/>
      <c r="J125" s="17"/>
      <c r="K125" s="17"/>
      <c r="L125" s="17"/>
      <c r="M125" s="17"/>
      <c r="N125" s="12"/>
      <c r="O125" s="12"/>
    </row>
    <row r="126" spans="1:15" ht="12.75" customHeight="1">
      <c r="A126" s="20"/>
      <c r="B126" s="17"/>
      <c r="C126" s="17"/>
      <c r="D126" s="24"/>
      <c r="E126" s="17"/>
      <c r="F126" s="17"/>
      <c r="G126" s="17"/>
      <c r="H126" s="17"/>
      <c r="I126" s="17"/>
      <c r="J126" s="17"/>
      <c r="K126" s="17"/>
      <c r="L126" s="17"/>
      <c r="M126" s="17"/>
      <c r="N126" s="12"/>
      <c r="O126" s="12"/>
    </row>
    <row r="127" spans="1:15" ht="12.75" customHeight="1">
      <c r="A127" s="20"/>
      <c r="B127" s="17"/>
      <c r="C127" s="17"/>
      <c r="D127" s="17"/>
      <c r="E127" s="17"/>
      <c r="F127" s="17"/>
      <c r="G127" s="17"/>
      <c r="H127" s="17"/>
      <c r="I127" s="17"/>
      <c r="J127" s="17"/>
      <c r="K127" s="17"/>
      <c r="L127" s="17"/>
      <c r="M127" s="17"/>
      <c r="N127" s="12"/>
      <c r="O127" s="12"/>
    </row>
    <row r="128" spans="1:15" ht="12.75" customHeight="1">
      <c r="A128" s="20"/>
      <c r="B128" s="17"/>
      <c r="C128" s="17"/>
      <c r="D128" s="17"/>
      <c r="E128" s="17"/>
      <c r="F128" s="17"/>
      <c r="G128" s="17"/>
      <c r="H128" s="17"/>
      <c r="I128" s="17"/>
      <c r="J128" s="17"/>
      <c r="K128" s="17"/>
      <c r="L128" s="17"/>
      <c r="M128" s="17"/>
      <c r="N128" s="12"/>
      <c r="O128" s="12"/>
    </row>
    <row r="129" spans="1:15" ht="12.75" customHeight="1">
      <c r="A129" s="20"/>
      <c r="B129" s="17"/>
      <c r="C129" s="17"/>
      <c r="D129" s="17"/>
      <c r="E129" s="17"/>
      <c r="F129" s="17"/>
      <c r="G129" s="17"/>
      <c r="H129" s="17"/>
      <c r="I129" s="17"/>
      <c r="J129" s="17"/>
      <c r="K129" s="17"/>
      <c r="L129" s="17"/>
      <c r="M129" s="17"/>
      <c r="N129" s="12"/>
      <c r="O129" s="12"/>
    </row>
    <row r="130" spans="1:15" ht="12.75" customHeight="1">
      <c r="A130" s="20"/>
      <c r="B130" s="17"/>
      <c r="C130" s="17"/>
      <c r="D130" s="17"/>
      <c r="E130" s="17"/>
      <c r="F130" s="17"/>
      <c r="G130" s="17"/>
      <c r="H130" s="17"/>
      <c r="I130" s="17"/>
      <c r="J130" s="17"/>
      <c r="K130" s="17"/>
      <c r="L130" s="17"/>
      <c r="M130" s="17"/>
      <c r="N130" s="12"/>
      <c r="O130" s="12"/>
    </row>
    <row r="131" spans="1:15" ht="12.75" customHeight="1">
      <c r="A131" s="20"/>
      <c r="B131" s="17"/>
      <c r="C131" s="17"/>
      <c r="D131" s="17"/>
      <c r="E131" s="17"/>
      <c r="F131" s="17"/>
      <c r="G131" s="17"/>
      <c r="H131" s="17"/>
      <c r="I131" s="17"/>
      <c r="J131" s="17"/>
      <c r="K131" s="17"/>
      <c r="L131" s="17"/>
      <c r="M131" s="17"/>
      <c r="N131" s="12"/>
      <c r="O131" s="12"/>
    </row>
    <row r="132" spans="1:15" ht="12.75" customHeight="1">
      <c r="A132" s="20"/>
      <c r="B132" s="17"/>
      <c r="C132" s="17"/>
      <c r="D132" s="31"/>
      <c r="E132" s="25"/>
      <c r="F132" s="25"/>
      <c r="G132" s="21"/>
      <c r="H132" s="25"/>
      <c r="I132" s="17"/>
      <c r="J132" s="17"/>
      <c r="K132" s="17"/>
      <c r="L132" s="17"/>
      <c r="M132" s="17"/>
      <c r="N132" s="12"/>
      <c r="O132" s="12"/>
    </row>
    <row r="133" spans="1:15" ht="12.75" customHeight="1">
      <c r="A133" s="20"/>
      <c r="B133" s="17"/>
      <c r="C133" s="17"/>
      <c r="D133" s="25"/>
      <c r="E133" s="17"/>
      <c r="F133" s="17"/>
      <c r="G133" s="22"/>
      <c r="H133" s="17"/>
      <c r="I133" s="17"/>
      <c r="J133" s="17"/>
      <c r="K133" s="17"/>
      <c r="L133" s="17"/>
      <c r="M133" s="17"/>
      <c r="N133" s="12"/>
      <c r="O133" s="12"/>
    </row>
    <row r="134" spans="1:15" ht="12.75" customHeight="1">
      <c r="A134" s="20"/>
      <c r="B134" s="17"/>
      <c r="C134" s="17"/>
      <c r="D134" s="25"/>
      <c r="E134" s="17"/>
      <c r="F134" s="17"/>
      <c r="G134" s="22"/>
      <c r="H134" s="17"/>
      <c r="I134" s="17"/>
      <c r="J134" s="17"/>
      <c r="K134" s="17"/>
      <c r="L134" s="17"/>
      <c r="M134" s="17"/>
      <c r="N134" s="12"/>
      <c r="O134" s="12"/>
    </row>
    <row r="135" spans="1:15" ht="12.75" customHeight="1">
      <c r="A135" s="20"/>
      <c r="B135" s="17"/>
      <c r="C135" s="17"/>
      <c r="D135" s="17"/>
      <c r="E135" s="17"/>
      <c r="F135" s="17"/>
      <c r="G135" s="17"/>
      <c r="H135" s="17"/>
      <c r="I135" s="17"/>
      <c r="J135" s="17"/>
      <c r="K135" s="17"/>
      <c r="L135" s="17"/>
      <c r="M135" s="17"/>
      <c r="N135" s="12"/>
      <c r="O135" s="12"/>
    </row>
    <row r="136" spans="1:15" ht="12.75" customHeight="1">
      <c r="A136" s="20"/>
      <c r="B136" s="17"/>
      <c r="C136" s="17"/>
      <c r="D136" s="31"/>
      <c r="E136" s="25"/>
      <c r="F136" s="25"/>
      <c r="G136" s="25"/>
      <c r="H136" s="25"/>
      <c r="I136" s="17"/>
      <c r="J136" s="17"/>
      <c r="K136" s="17"/>
      <c r="L136" s="17"/>
      <c r="M136" s="17"/>
      <c r="N136" s="12"/>
      <c r="O136" s="12"/>
    </row>
    <row r="137" spans="1:15" ht="12.75" customHeight="1">
      <c r="A137" s="20"/>
      <c r="B137" s="17"/>
      <c r="C137" s="17"/>
      <c r="D137" s="17"/>
      <c r="E137" s="17"/>
      <c r="F137" s="17"/>
      <c r="G137" s="17"/>
      <c r="H137" s="17"/>
      <c r="I137" s="17"/>
      <c r="J137" s="17"/>
      <c r="K137" s="17"/>
      <c r="L137" s="17"/>
      <c r="M137" s="17"/>
      <c r="N137" s="12"/>
      <c r="O137" s="12"/>
    </row>
    <row r="138" spans="1:15" ht="12.75" customHeight="1">
      <c r="A138" s="20"/>
      <c r="B138" s="17"/>
      <c r="C138" s="17"/>
      <c r="D138" s="17"/>
      <c r="E138" s="17"/>
      <c r="F138" s="17"/>
      <c r="G138" s="17"/>
      <c r="H138" s="17"/>
      <c r="I138" s="17"/>
      <c r="J138" s="17"/>
      <c r="K138" s="17"/>
      <c r="L138" s="17"/>
      <c r="M138" s="17"/>
      <c r="N138" s="12"/>
      <c r="O138" s="12"/>
    </row>
    <row r="139" spans="1:15" ht="12.75" customHeight="1">
      <c r="A139" s="20"/>
      <c r="B139" s="17"/>
      <c r="C139" s="17"/>
      <c r="D139" s="17"/>
      <c r="E139" s="17"/>
      <c r="F139" s="17"/>
      <c r="G139" s="17"/>
      <c r="H139" s="17"/>
      <c r="I139" s="17"/>
      <c r="J139" s="17"/>
      <c r="K139" s="17"/>
      <c r="L139" s="17"/>
      <c r="M139" s="17"/>
      <c r="N139" s="12"/>
      <c r="O139" s="12"/>
    </row>
    <row r="140" spans="1:15" ht="12.75" customHeight="1">
      <c r="A140" s="20"/>
      <c r="B140" s="20"/>
      <c r="C140" s="17"/>
      <c r="D140" s="17"/>
      <c r="E140" s="17"/>
      <c r="F140" s="17"/>
      <c r="G140" s="17"/>
      <c r="H140" s="17"/>
      <c r="I140" s="17"/>
      <c r="J140" s="17"/>
      <c r="K140" s="17"/>
      <c r="L140" s="17"/>
      <c r="M140" s="17"/>
      <c r="N140" s="12"/>
      <c r="O140" s="12"/>
    </row>
    <row r="141" spans="1:15" ht="12.75" customHeight="1">
      <c r="A141" s="20"/>
      <c r="B141" s="20"/>
      <c r="C141" s="17"/>
      <c r="D141" s="17"/>
      <c r="E141" s="17"/>
      <c r="F141" s="17"/>
      <c r="G141" s="17"/>
      <c r="H141" s="17"/>
      <c r="I141" s="17"/>
      <c r="J141" s="33"/>
      <c r="K141" s="17"/>
      <c r="L141" s="17"/>
      <c r="M141" s="17"/>
      <c r="N141" s="12"/>
      <c r="O141" s="12"/>
    </row>
    <row r="142" spans="1:15" ht="12.75" customHeight="1">
      <c r="A142" s="20"/>
      <c r="B142" s="20"/>
      <c r="C142" s="17"/>
      <c r="D142" s="17"/>
      <c r="E142" s="17"/>
      <c r="F142" s="17"/>
      <c r="G142" s="17"/>
      <c r="H142" s="17"/>
      <c r="I142" s="17"/>
      <c r="J142" s="33"/>
      <c r="K142" s="17"/>
      <c r="L142" s="17"/>
      <c r="M142" s="17"/>
      <c r="N142" s="12"/>
      <c r="O142" s="12"/>
    </row>
    <row r="143" spans="1:15" ht="12.75" customHeight="1">
      <c r="A143" s="20"/>
      <c r="B143" s="20"/>
      <c r="C143" s="17"/>
      <c r="D143" s="31"/>
      <c r="E143" s="25"/>
      <c r="F143" s="25"/>
      <c r="G143" s="25"/>
      <c r="H143" s="25"/>
      <c r="I143" s="17"/>
      <c r="J143" s="33"/>
      <c r="K143" s="17"/>
      <c r="L143" s="17"/>
      <c r="M143" s="17"/>
      <c r="N143" s="12"/>
      <c r="O143" s="12"/>
    </row>
    <row r="144" spans="1:15" ht="12.75" customHeight="1">
      <c r="A144" s="20"/>
      <c r="B144" s="20"/>
      <c r="C144" s="17"/>
      <c r="D144" s="18"/>
      <c r="E144" s="17"/>
      <c r="F144" s="17"/>
      <c r="G144" s="22"/>
      <c r="H144" s="23"/>
      <c r="I144" s="17"/>
      <c r="J144" s="33"/>
      <c r="K144" s="17"/>
      <c r="L144" s="17"/>
      <c r="M144" s="17"/>
      <c r="N144" s="12"/>
      <c r="O144" s="12"/>
    </row>
    <row r="145" spans="1:15" ht="12.75" customHeight="1">
      <c r="A145" s="20"/>
      <c r="B145" s="20"/>
      <c r="C145" s="17"/>
      <c r="D145" s="18"/>
      <c r="E145" s="17"/>
      <c r="F145" s="17"/>
      <c r="G145" s="22"/>
      <c r="H145" s="23"/>
      <c r="I145" s="17"/>
      <c r="J145" s="17"/>
      <c r="K145" s="17"/>
      <c r="L145" s="17"/>
      <c r="M145" s="17"/>
      <c r="N145" s="12"/>
      <c r="O145" s="12"/>
    </row>
    <row r="146" spans="1:15" ht="12.75" customHeight="1">
      <c r="A146" s="20"/>
      <c r="B146" s="20"/>
      <c r="C146" s="17"/>
      <c r="D146" s="18"/>
      <c r="E146" s="17"/>
      <c r="F146" s="17"/>
      <c r="G146" s="22"/>
      <c r="H146" s="23"/>
      <c r="I146" s="17"/>
      <c r="J146" s="33"/>
      <c r="K146" s="17"/>
      <c r="L146" s="17"/>
      <c r="M146" s="17"/>
      <c r="N146" s="12"/>
      <c r="O146" s="12"/>
    </row>
    <row r="147" spans="1:15" ht="12.75" customHeight="1">
      <c r="A147" s="20"/>
      <c r="B147" s="20"/>
      <c r="C147" s="17"/>
      <c r="D147" s="18"/>
      <c r="E147" s="17"/>
      <c r="F147" s="17"/>
      <c r="G147" s="22"/>
      <c r="H147" s="23"/>
      <c r="I147" s="17"/>
      <c r="J147" s="33"/>
      <c r="K147" s="17"/>
      <c r="L147" s="17"/>
      <c r="M147" s="17"/>
      <c r="N147" s="12"/>
      <c r="O147" s="12"/>
    </row>
    <row r="148" spans="1:15" ht="12.75" customHeight="1">
      <c r="A148" s="20"/>
      <c r="B148" s="20"/>
      <c r="C148" s="17"/>
      <c r="D148" s="18"/>
      <c r="E148" s="17"/>
      <c r="F148" s="17"/>
      <c r="G148" s="22"/>
      <c r="H148" s="23"/>
      <c r="I148" s="17"/>
      <c r="J148" s="33"/>
      <c r="K148" s="17"/>
      <c r="L148" s="17"/>
      <c r="M148" s="17"/>
      <c r="N148" s="12"/>
      <c r="O148" s="12"/>
    </row>
    <row r="149" spans="1:15" ht="12.75" customHeight="1">
      <c r="A149" s="20"/>
      <c r="B149" s="20"/>
      <c r="C149" s="17"/>
      <c r="D149" s="18"/>
      <c r="E149" s="17"/>
      <c r="F149" s="17"/>
      <c r="G149" s="22"/>
      <c r="H149" s="23"/>
      <c r="I149" s="17"/>
      <c r="J149" s="33"/>
      <c r="K149" s="17"/>
      <c r="L149" s="17"/>
      <c r="M149" s="17"/>
      <c r="N149" s="12"/>
      <c r="O149" s="12"/>
    </row>
    <row r="150" spans="1:15" ht="12.75" customHeight="1">
      <c r="A150" s="20"/>
      <c r="B150" s="20"/>
      <c r="C150" s="17"/>
      <c r="D150" s="18"/>
      <c r="E150" s="17"/>
      <c r="F150" s="17"/>
      <c r="G150" s="22"/>
      <c r="H150" s="23"/>
      <c r="I150" s="17"/>
      <c r="J150" s="33"/>
      <c r="K150" s="17"/>
      <c r="L150" s="17"/>
      <c r="M150" s="17"/>
      <c r="N150" s="12"/>
      <c r="O150" s="12"/>
    </row>
    <row r="151" spans="1:15" ht="12.75" customHeight="1">
      <c r="A151" s="20"/>
      <c r="B151" s="20"/>
      <c r="C151" s="17"/>
      <c r="D151" s="18"/>
      <c r="E151" s="17"/>
      <c r="F151" s="17"/>
      <c r="G151" s="22"/>
      <c r="H151" s="23"/>
      <c r="I151" s="17"/>
      <c r="J151" s="33"/>
      <c r="K151" s="17"/>
      <c r="L151" s="17"/>
      <c r="M151" s="17"/>
      <c r="N151" s="12"/>
      <c r="O151" s="12"/>
    </row>
    <row r="152" spans="1:15" ht="12.75" customHeight="1">
      <c r="A152" s="20"/>
      <c r="B152" s="20"/>
      <c r="C152" s="17"/>
      <c r="D152" s="18"/>
      <c r="E152" s="17"/>
      <c r="F152" s="17"/>
      <c r="G152" s="22"/>
      <c r="H152" s="23"/>
      <c r="I152" s="17"/>
      <c r="J152" s="33"/>
      <c r="K152" s="17"/>
      <c r="L152" s="17"/>
      <c r="M152" s="17"/>
      <c r="N152" s="12"/>
      <c r="O152" s="12"/>
    </row>
    <row r="153" spans="1:15" ht="12.75" customHeight="1">
      <c r="A153" s="20"/>
      <c r="B153" s="20"/>
      <c r="C153" s="17"/>
      <c r="D153" s="18"/>
      <c r="E153" s="17"/>
      <c r="F153" s="17"/>
      <c r="G153" s="22"/>
      <c r="H153" s="23"/>
      <c r="I153" s="17"/>
      <c r="J153" s="33"/>
      <c r="K153" s="17"/>
      <c r="L153" s="17"/>
      <c r="M153" s="17"/>
      <c r="N153" s="12"/>
      <c r="O153" s="12"/>
    </row>
    <row r="154" spans="1:15" ht="12.75" customHeight="1">
      <c r="A154" s="20"/>
      <c r="B154" s="20"/>
      <c r="C154" s="17"/>
      <c r="D154" s="18"/>
      <c r="E154" s="17"/>
      <c r="F154" s="17"/>
      <c r="G154" s="22"/>
      <c r="H154" s="23"/>
      <c r="I154" s="17"/>
      <c r="J154" s="33"/>
      <c r="K154" s="17"/>
      <c r="L154" s="17"/>
      <c r="M154" s="17"/>
      <c r="N154" s="12"/>
      <c r="O154" s="12"/>
    </row>
    <row r="155" spans="1:15" ht="12.75" customHeight="1">
      <c r="A155" s="20"/>
      <c r="B155" s="20"/>
      <c r="C155" s="17"/>
      <c r="D155" s="18"/>
      <c r="E155" s="17"/>
      <c r="F155" s="17"/>
      <c r="G155" s="22"/>
      <c r="H155" s="23"/>
      <c r="I155" s="17"/>
      <c r="J155" s="33"/>
      <c r="K155" s="17"/>
      <c r="L155" s="17"/>
      <c r="M155" s="17"/>
      <c r="N155" s="12"/>
      <c r="O155" s="12"/>
    </row>
    <row r="156" spans="1:15" ht="12.75" customHeight="1">
      <c r="A156" s="20"/>
      <c r="B156" s="20"/>
      <c r="C156" s="17"/>
      <c r="D156" s="18"/>
      <c r="E156" s="17"/>
      <c r="F156" s="17"/>
      <c r="G156" s="22"/>
      <c r="H156" s="23"/>
      <c r="I156" s="17"/>
      <c r="J156" s="33"/>
      <c r="K156" s="17"/>
      <c r="L156" s="17"/>
      <c r="M156" s="17"/>
      <c r="N156" s="12"/>
      <c r="O156" s="12"/>
    </row>
    <row r="157" spans="1:15" ht="12.75" customHeight="1">
      <c r="A157" s="20"/>
      <c r="B157" s="20"/>
      <c r="C157" s="17"/>
      <c r="D157" s="17"/>
      <c r="E157" s="17"/>
      <c r="F157" s="17"/>
      <c r="G157" s="17"/>
      <c r="H157" s="17"/>
      <c r="I157" s="17"/>
      <c r="J157" s="33"/>
      <c r="K157" s="17"/>
      <c r="L157" s="17"/>
      <c r="M157" s="17"/>
      <c r="N157" s="12"/>
      <c r="O157" s="12"/>
    </row>
    <row r="158" spans="1:15" ht="12.75" customHeight="1">
      <c r="A158" s="20"/>
      <c r="B158" s="20"/>
      <c r="C158" s="17"/>
      <c r="D158" s="31"/>
      <c r="E158" s="25"/>
      <c r="F158" s="25"/>
      <c r="G158" s="25"/>
      <c r="H158" s="25"/>
      <c r="I158" s="26"/>
      <c r="J158" s="26"/>
      <c r="K158" s="26"/>
      <c r="L158" s="26"/>
      <c r="M158" s="26"/>
      <c r="N158" s="12"/>
      <c r="O158" s="12"/>
    </row>
    <row r="159" spans="1:15" ht="12.75" customHeight="1">
      <c r="A159" s="20"/>
      <c r="C159" s="17"/>
      <c r="D159" s="25"/>
      <c r="E159" s="25"/>
      <c r="F159" s="25"/>
      <c r="G159" s="25"/>
      <c r="H159" s="25"/>
      <c r="I159" s="26"/>
      <c r="J159" s="26"/>
      <c r="K159" s="26"/>
      <c r="L159" s="26"/>
      <c r="M159" s="26"/>
      <c r="N159" s="12"/>
      <c r="O159" s="12"/>
    </row>
    <row r="160" spans="3:15" ht="12.75" customHeight="1">
      <c r="C160" s="17"/>
      <c r="D160" s="17"/>
      <c r="E160" s="12"/>
      <c r="F160" s="12"/>
      <c r="G160" s="17"/>
      <c r="H160" s="25"/>
      <c r="I160" s="25"/>
      <c r="J160" s="26"/>
      <c r="K160" s="26"/>
      <c r="L160" s="26"/>
      <c r="M160" s="26"/>
      <c r="N160" s="12"/>
      <c r="O160" s="12"/>
    </row>
    <row r="161" spans="3:15" ht="12.75" customHeight="1">
      <c r="C161" s="17"/>
      <c r="D161" s="25"/>
      <c r="E161" s="25"/>
      <c r="F161" s="25"/>
      <c r="G161" s="25"/>
      <c r="H161" s="25"/>
      <c r="I161" s="26"/>
      <c r="J161" s="26"/>
      <c r="K161" s="26"/>
      <c r="L161" s="26"/>
      <c r="M161" s="26"/>
      <c r="N161" s="12"/>
      <c r="O161" s="12"/>
    </row>
    <row r="162" spans="3:15" ht="12.75" customHeight="1">
      <c r="C162" s="17"/>
      <c r="D162" s="25"/>
      <c r="E162" s="25"/>
      <c r="F162" s="25"/>
      <c r="G162" s="25"/>
      <c r="H162" s="25"/>
      <c r="I162" s="26"/>
      <c r="J162" s="26"/>
      <c r="K162" s="26"/>
      <c r="L162" s="26"/>
      <c r="M162" s="26"/>
      <c r="N162" s="12"/>
      <c r="O162" s="12"/>
    </row>
    <row r="163" spans="3:15" ht="12.75" customHeight="1">
      <c r="C163" s="17"/>
      <c r="D163" s="25"/>
      <c r="E163" s="25"/>
      <c r="F163" s="25"/>
      <c r="G163" s="25"/>
      <c r="H163" s="25"/>
      <c r="I163" s="26"/>
      <c r="J163" s="26"/>
      <c r="K163" s="26"/>
      <c r="L163" s="26"/>
      <c r="M163" s="26"/>
      <c r="N163" s="12"/>
      <c r="O163" s="12"/>
    </row>
    <row r="164" spans="3:15" ht="12.75" customHeight="1">
      <c r="C164" s="17"/>
      <c r="D164" s="24"/>
      <c r="E164" s="25"/>
      <c r="F164" s="25"/>
      <c r="G164" s="17"/>
      <c r="H164" s="17"/>
      <c r="I164" s="25"/>
      <c r="J164" s="26"/>
      <c r="K164" s="26"/>
      <c r="L164" s="26"/>
      <c r="M164" s="26"/>
      <c r="N164" s="12"/>
      <c r="O164" s="12"/>
    </row>
    <row r="165" spans="3:15" ht="12.75" customHeight="1">
      <c r="C165" s="17"/>
      <c r="D165" s="17"/>
      <c r="E165" s="25"/>
      <c r="F165" s="25"/>
      <c r="G165" s="25"/>
      <c r="H165" s="17"/>
      <c r="I165" s="26"/>
      <c r="J165" s="26"/>
      <c r="K165" s="26"/>
      <c r="L165" s="26"/>
      <c r="M165" s="26"/>
      <c r="N165" s="12"/>
      <c r="O165" s="12"/>
    </row>
    <row r="166" spans="3:15" ht="12.75" customHeight="1">
      <c r="C166" s="17"/>
      <c r="D166" s="25"/>
      <c r="E166" s="25"/>
      <c r="F166" s="25"/>
      <c r="G166" s="18"/>
      <c r="H166" s="25"/>
      <c r="I166" s="26"/>
      <c r="J166" s="26"/>
      <c r="K166" s="26"/>
      <c r="L166" s="26"/>
      <c r="M166" s="26"/>
      <c r="N166" s="12"/>
      <c r="O166" s="12"/>
    </row>
    <row r="167" spans="3:15" ht="12.75" customHeight="1">
      <c r="C167" s="17"/>
      <c r="D167" s="25"/>
      <c r="E167" s="25"/>
      <c r="F167" s="25"/>
      <c r="G167" s="25"/>
      <c r="H167" s="25"/>
      <c r="I167" s="25"/>
      <c r="J167" s="26"/>
      <c r="K167" s="26"/>
      <c r="L167" s="26"/>
      <c r="M167" s="26"/>
      <c r="N167" s="12"/>
      <c r="O167" s="12"/>
    </row>
    <row r="168" spans="3:15" ht="12.75" customHeight="1">
      <c r="C168" s="12"/>
      <c r="D168" s="25"/>
      <c r="E168" s="25"/>
      <c r="F168" s="25"/>
      <c r="G168" s="19"/>
      <c r="H168" s="25"/>
      <c r="I168" s="25"/>
      <c r="J168" s="26"/>
      <c r="K168" s="26"/>
      <c r="L168" s="26"/>
      <c r="M168" s="26"/>
      <c r="N168" s="12"/>
      <c r="O168" s="12"/>
    </row>
    <row r="169" spans="3:15" ht="12.75" customHeight="1">
      <c r="C169" s="12"/>
      <c r="D169" s="12"/>
      <c r="E169" s="12"/>
      <c r="F169" s="12"/>
      <c r="G169" s="12"/>
      <c r="H169" s="12"/>
      <c r="I169" s="26"/>
      <c r="J169" s="26"/>
      <c r="K169" s="26"/>
      <c r="L169" s="26"/>
      <c r="M169" s="26"/>
      <c r="N169" s="12"/>
      <c r="O169" s="12"/>
    </row>
    <row r="170" spans="3:15" ht="12.75" customHeight="1">
      <c r="C170" s="12"/>
      <c r="D170" s="31"/>
      <c r="E170" s="25"/>
      <c r="F170" s="25"/>
      <c r="G170" s="25"/>
      <c r="H170" s="25"/>
      <c r="I170" s="26"/>
      <c r="J170" s="26"/>
      <c r="K170" s="26"/>
      <c r="L170" s="26"/>
      <c r="M170" s="26"/>
      <c r="N170" s="12"/>
      <c r="O170" s="12"/>
    </row>
    <row r="171" spans="3:15" ht="12.75" customHeight="1">
      <c r="C171" s="12"/>
      <c r="D171" s="25"/>
      <c r="E171" s="25"/>
      <c r="F171" s="25"/>
      <c r="G171" s="25"/>
      <c r="H171" s="25"/>
      <c r="I171" s="26"/>
      <c r="J171" s="26"/>
      <c r="K171" s="26"/>
      <c r="L171" s="26"/>
      <c r="M171" s="26"/>
      <c r="N171" s="12"/>
      <c r="O171" s="12"/>
    </row>
    <row r="172" spans="3:15" ht="12.75" customHeight="1">
      <c r="C172" s="12"/>
      <c r="D172" s="25"/>
      <c r="E172" s="25"/>
      <c r="F172" s="25"/>
      <c r="G172" s="25"/>
      <c r="H172" s="25"/>
      <c r="I172" s="25"/>
      <c r="J172" s="26"/>
      <c r="K172" s="26"/>
      <c r="L172" s="26"/>
      <c r="M172" s="26"/>
      <c r="N172" s="12"/>
      <c r="O172" s="12"/>
    </row>
    <row r="173" spans="3:15" ht="12.75" customHeight="1">
      <c r="C173" s="12"/>
      <c r="D173" s="25"/>
      <c r="E173" s="25"/>
      <c r="F173" s="25"/>
      <c r="G173" s="25"/>
      <c r="H173" s="25"/>
      <c r="I173" s="25"/>
      <c r="J173" s="26"/>
      <c r="K173" s="26"/>
      <c r="L173" s="26"/>
      <c r="M173" s="26"/>
      <c r="N173" s="12"/>
      <c r="O173" s="12"/>
    </row>
    <row r="174" spans="3:15" ht="12.75" customHeight="1">
      <c r="C174" s="12"/>
      <c r="D174" s="25"/>
      <c r="E174" s="25"/>
      <c r="F174" s="25"/>
      <c r="G174" s="25"/>
      <c r="H174" s="25"/>
      <c r="I174" s="26"/>
      <c r="J174" s="26"/>
      <c r="K174" s="26"/>
      <c r="L174" s="26"/>
      <c r="M174" s="26"/>
      <c r="N174" s="12"/>
      <c r="O174" s="12"/>
    </row>
    <row r="175" spans="3:15" ht="12.75" customHeight="1">
      <c r="C175" s="12"/>
      <c r="D175" s="18"/>
      <c r="E175" s="25"/>
      <c r="F175" s="25"/>
      <c r="G175" s="25"/>
      <c r="H175" s="23"/>
      <c r="I175" s="26"/>
      <c r="J175" s="26"/>
      <c r="K175" s="26"/>
      <c r="L175" s="26"/>
      <c r="M175" s="26"/>
      <c r="N175" s="12"/>
      <c r="O175" s="12"/>
    </row>
    <row r="176" spans="3:15" ht="12.75" customHeight="1">
      <c r="C176" s="12"/>
      <c r="D176" s="25"/>
      <c r="E176" s="12"/>
      <c r="F176" s="12"/>
      <c r="G176" s="25"/>
      <c r="H176" s="25"/>
      <c r="I176" s="26"/>
      <c r="J176" s="26"/>
      <c r="K176" s="26"/>
      <c r="L176" s="26"/>
      <c r="M176" s="26"/>
      <c r="N176" s="12"/>
      <c r="O176" s="12"/>
    </row>
    <row r="177" spans="3:15" ht="12.75" customHeight="1">
      <c r="C177" s="12"/>
      <c r="D177" s="18"/>
      <c r="E177" s="25"/>
      <c r="F177" s="25"/>
      <c r="G177" s="25"/>
      <c r="H177" s="23"/>
      <c r="I177" s="26"/>
      <c r="J177" s="26"/>
      <c r="K177" s="26"/>
      <c r="L177" s="26"/>
      <c r="M177" s="26"/>
      <c r="N177" s="12"/>
      <c r="O177" s="12"/>
    </row>
    <row r="178" spans="3:15" ht="12.75" customHeight="1">
      <c r="C178" s="12"/>
      <c r="D178" s="18"/>
      <c r="E178" s="31"/>
      <c r="F178" s="31"/>
      <c r="G178" s="31"/>
      <c r="H178" s="34"/>
      <c r="I178" s="25"/>
      <c r="J178" s="12"/>
      <c r="K178" s="12"/>
      <c r="L178" s="12"/>
      <c r="M178" s="12"/>
      <c r="N178" s="12"/>
      <c r="O178" s="12"/>
    </row>
    <row r="179" spans="3:15" ht="12.75" customHeight="1">
      <c r="C179" s="12"/>
      <c r="D179" s="12"/>
      <c r="E179" s="12"/>
      <c r="F179" s="12"/>
      <c r="G179" s="12"/>
      <c r="H179" s="12"/>
      <c r="I179" s="26"/>
      <c r="J179" s="26"/>
      <c r="K179" s="26"/>
      <c r="L179" s="26"/>
      <c r="M179" s="26"/>
      <c r="N179" s="12"/>
      <c r="O179" s="12"/>
    </row>
    <row r="180" spans="3:15" ht="12.75" customHeight="1">
      <c r="C180" s="12"/>
      <c r="D180" s="31"/>
      <c r="E180" s="25"/>
      <c r="F180" s="25"/>
      <c r="G180" s="25"/>
      <c r="H180" s="25"/>
      <c r="I180" s="26"/>
      <c r="J180" s="26"/>
      <c r="K180" s="26"/>
      <c r="L180" s="26"/>
      <c r="M180" s="26"/>
      <c r="N180" s="12"/>
      <c r="O180" s="12"/>
    </row>
    <row r="181" spans="3:15" ht="12.75" customHeight="1">
      <c r="C181" s="12"/>
      <c r="D181" s="25"/>
      <c r="E181" s="26"/>
      <c r="F181" s="26"/>
      <c r="G181" s="25"/>
      <c r="H181" s="25"/>
      <c r="I181" s="26"/>
      <c r="J181" s="26"/>
      <c r="K181" s="26"/>
      <c r="L181" s="26"/>
      <c r="M181" s="26"/>
      <c r="N181" s="12"/>
      <c r="O181" s="12"/>
    </row>
    <row r="182" spans="3:15" ht="12.75" customHeight="1">
      <c r="C182" s="12"/>
      <c r="D182" s="25"/>
      <c r="E182" s="26"/>
      <c r="F182" s="26"/>
      <c r="G182" s="25"/>
      <c r="H182" s="25"/>
      <c r="I182" s="12"/>
      <c r="J182" s="26"/>
      <c r="K182" s="12"/>
      <c r="L182" s="12"/>
      <c r="M182" s="12"/>
      <c r="N182" s="12"/>
      <c r="O182" s="12"/>
    </row>
    <row r="183" spans="3:15" ht="12.75" customHeight="1">
      <c r="C183" s="12"/>
      <c r="D183" s="25"/>
      <c r="E183" s="26"/>
      <c r="F183" s="26"/>
      <c r="G183" s="25"/>
      <c r="H183" s="25"/>
      <c r="I183" s="25"/>
      <c r="J183" s="26"/>
      <c r="K183" s="26"/>
      <c r="L183" s="26"/>
      <c r="M183" s="26"/>
      <c r="N183" s="12"/>
      <c r="O183" s="12"/>
    </row>
    <row r="184" spans="3:15" ht="12.75" customHeight="1">
      <c r="C184" s="12"/>
      <c r="D184" s="25"/>
      <c r="E184" s="26"/>
      <c r="F184" s="26"/>
      <c r="G184" s="25"/>
      <c r="H184" s="25"/>
      <c r="I184" s="26"/>
      <c r="J184" s="26"/>
      <c r="K184" s="26"/>
      <c r="L184" s="26"/>
      <c r="M184" s="26"/>
      <c r="N184" s="12"/>
      <c r="O184" s="12"/>
    </row>
    <row r="185" spans="3:15" ht="12.75" customHeight="1">
      <c r="C185" s="12"/>
      <c r="D185" s="25"/>
      <c r="E185" s="26"/>
      <c r="F185" s="26"/>
      <c r="G185" s="25"/>
      <c r="H185" s="25"/>
      <c r="I185" s="26"/>
      <c r="J185" s="26"/>
      <c r="K185" s="26"/>
      <c r="L185" s="26"/>
      <c r="M185" s="26"/>
      <c r="N185" s="12"/>
      <c r="O185" s="12"/>
    </row>
    <row r="186" spans="3:15" ht="12.75" customHeight="1">
      <c r="C186" s="12"/>
      <c r="D186" s="25"/>
      <c r="E186" s="26"/>
      <c r="F186" s="26"/>
      <c r="G186" s="25"/>
      <c r="H186" s="25"/>
      <c r="I186" s="26"/>
      <c r="J186" s="26"/>
      <c r="K186" s="26"/>
      <c r="L186" s="26"/>
      <c r="M186" s="26"/>
      <c r="N186" s="12"/>
      <c r="O186" s="12"/>
    </row>
    <row r="187" spans="3:15" ht="12.75" customHeight="1">
      <c r="C187" s="12"/>
      <c r="D187" s="25"/>
      <c r="E187" s="26"/>
      <c r="F187" s="26"/>
      <c r="G187" s="25"/>
      <c r="H187" s="25"/>
      <c r="I187" s="26"/>
      <c r="J187" s="26"/>
      <c r="K187" s="26"/>
      <c r="L187" s="26"/>
      <c r="M187" s="26"/>
      <c r="N187" s="12"/>
      <c r="O187" s="12"/>
    </row>
    <row r="188" spans="3:15" ht="12.75" customHeight="1">
      <c r="C188" s="12"/>
      <c r="D188" s="25"/>
      <c r="E188" s="26"/>
      <c r="F188" s="26"/>
      <c r="G188" s="25"/>
      <c r="H188" s="25"/>
      <c r="I188" s="26"/>
      <c r="J188" s="26"/>
      <c r="K188" s="26"/>
      <c r="L188" s="26"/>
      <c r="M188" s="26"/>
      <c r="N188" s="12"/>
      <c r="O188" s="12"/>
    </row>
    <row r="189" spans="3:15" ht="12.75" customHeight="1">
      <c r="C189" s="12"/>
      <c r="D189" s="12"/>
      <c r="E189" s="12"/>
      <c r="F189" s="12"/>
      <c r="G189" s="12"/>
      <c r="H189" s="12"/>
      <c r="I189" s="26"/>
      <c r="J189" s="26"/>
      <c r="K189" s="26"/>
      <c r="L189" s="26"/>
      <c r="M189" s="26"/>
      <c r="N189" s="12"/>
      <c r="O189" s="12"/>
    </row>
    <row r="190" spans="3:15" ht="12.75" customHeight="1">
      <c r="C190" s="12"/>
      <c r="D190" s="12"/>
      <c r="E190" s="12"/>
      <c r="F190" s="12"/>
      <c r="G190" s="12"/>
      <c r="H190" s="12"/>
      <c r="I190" s="26"/>
      <c r="J190" s="26"/>
      <c r="K190" s="26"/>
      <c r="L190" s="26"/>
      <c r="M190" s="26"/>
      <c r="N190" s="12"/>
      <c r="O190" s="12"/>
    </row>
    <row r="191" spans="3:15" ht="12.75" customHeight="1">
      <c r="C191" s="12"/>
      <c r="D191" s="12"/>
      <c r="E191" s="12"/>
      <c r="F191" s="12"/>
      <c r="G191" s="12"/>
      <c r="H191" s="12"/>
      <c r="I191" s="26"/>
      <c r="J191" s="26"/>
      <c r="K191" s="26"/>
      <c r="L191" s="26"/>
      <c r="M191" s="26"/>
      <c r="N191" s="12"/>
      <c r="O191" s="12"/>
    </row>
    <row r="192" spans="3:15" ht="12.75" customHeight="1">
      <c r="C192" s="12"/>
      <c r="D192" s="12"/>
      <c r="E192" s="12"/>
      <c r="F192" s="12"/>
      <c r="G192" s="12"/>
      <c r="H192" s="12"/>
      <c r="I192" s="26"/>
      <c r="J192" s="26"/>
      <c r="K192" s="26"/>
      <c r="L192" s="26"/>
      <c r="M192" s="26"/>
      <c r="N192" s="12"/>
      <c r="O192" s="12"/>
    </row>
    <row r="193" spans="3:15" ht="12.75" customHeight="1">
      <c r="C193" s="12"/>
      <c r="D193" s="26"/>
      <c r="E193" s="26"/>
      <c r="F193" s="26"/>
      <c r="G193" s="26"/>
      <c r="H193" s="26"/>
      <c r="I193" s="26"/>
      <c r="J193" s="26"/>
      <c r="K193" s="26"/>
      <c r="L193" s="26"/>
      <c r="M193" s="26"/>
      <c r="N193" s="12"/>
      <c r="O193" s="12"/>
    </row>
    <row r="194" spans="3:15" ht="12.75" customHeight="1">
      <c r="C194" s="12"/>
      <c r="D194" s="26"/>
      <c r="E194" s="26"/>
      <c r="F194" s="26"/>
      <c r="G194" s="26"/>
      <c r="H194" s="26"/>
      <c r="I194" s="26"/>
      <c r="J194" s="26"/>
      <c r="K194" s="26"/>
      <c r="L194" s="26"/>
      <c r="M194" s="26"/>
      <c r="N194" s="12"/>
      <c r="O194" s="12"/>
    </row>
    <row r="195" spans="3:15" ht="12.75" customHeight="1">
      <c r="C195" s="12"/>
      <c r="D195" s="26"/>
      <c r="E195" s="26"/>
      <c r="F195" s="26"/>
      <c r="G195" s="26"/>
      <c r="H195" s="26"/>
      <c r="I195" s="26"/>
      <c r="J195" s="26"/>
      <c r="K195" s="26"/>
      <c r="L195" s="26"/>
      <c r="M195" s="26"/>
      <c r="N195" s="12"/>
      <c r="O195" s="12"/>
    </row>
    <row r="196" spans="3:15" ht="12.75" customHeight="1">
      <c r="C196" s="12"/>
      <c r="D196" s="26"/>
      <c r="E196" s="26"/>
      <c r="F196" s="26"/>
      <c r="G196" s="26"/>
      <c r="H196" s="26"/>
      <c r="I196" s="26"/>
      <c r="J196" s="26"/>
      <c r="K196" s="26"/>
      <c r="L196" s="26"/>
      <c r="M196" s="26"/>
      <c r="N196" s="12"/>
      <c r="O196" s="12"/>
    </row>
    <row r="197" spans="3:15" ht="12.75" customHeight="1">
      <c r="C197" s="12"/>
      <c r="D197" s="26"/>
      <c r="E197" s="26"/>
      <c r="F197" s="26"/>
      <c r="G197" s="26"/>
      <c r="H197" s="26"/>
      <c r="I197" s="26"/>
      <c r="J197" s="26"/>
      <c r="K197" s="26"/>
      <c r="L197" s="26"/>
      <c r="M197" s="26"/>
      <c r="N197" s="12"/>
      <c r="O197" s="12"/>
    </row>
    <row r="198" spans="3:15" ht="12.75" customHeight="1">
      <c r="C198" s="12"/>
      <c r="D198" s="26"/>
      <c r="E198" s="26"/>
      <c r="F198" s="26"/>
      <c r="G198" s="26"/>
      <c r="H198" s="26"/>
      <c r="I198" s="26"/>
      <c r="J198" s="26"/>
      <c r="K198" s="26"/>
      <c r="L198" s="26"/>
      <c r="M198" s="26"/>
      <c r="N198" s="12"/>
      <c r="O198" s="12"/>
    </row>
    <row r="199" spans="3:15" ht="12.75" customHeight="1">
      <c r="C199" s="12"/>
      <c r="D199" s="26"/>
      <c r="E199" s="26"/>
      <c r="F199" s="26"/>
      <c r="G199" s="26"/>
      <c r="H199" s="26"/>
      <c r="I199" s="26"/>
      <c r="J199" s="26"/>
      <c r="K199" s="26"/>
      <c r="L199" s="26"/>
      <c r="M199" s="26"/>
      <c r="N199" s="12"/>
      <c r="O199" s="12"/>
    </row>
    <row r="200" spans="3:15" ht="12.75" customHeight="1">
      <c r="C200" s="12"/>
      <c r="D200" s="26"/>
      <c r="E200" s="26"/>
      <c r="F200" s="26"/>
      <c r="G200" s="26"/>
      <c r="H200" s="26"/>
      <c r="I200" s="26"/>
      <c r="J200" s="26"/>
      <c r="K200" s="26"/>
      <c r="L200" s="26"/>
      <c r="M200" s="26"/>
      <c r="N200" s="12"/>
      <c r="O200" s="12"/>
    </row>
    <row r="201" spans="3:15" ht="12.75" customHeight="1">
      <c r="C201" s="12"/>
      <c r="D201" s="12"/>
      <c r="E201" s="12"/>
      <c r="F201" s="12"/>
      <c r="G201" s="12"/>
      <c r="H201" s="12"/>
      <c r="I201" s="12"/>
      <c r="J201" s="12"/>
      <c r="K201" s="12"/>
      <c r="L201" s="12"/>
      <c r="M201" s="12"/>
      <c r="N201" s="12"/>
      <c r="O201" s="12"/>
    </row>
    <row r="202" spans="3:15" ht="12.75" customHeight="1">
      <c r="C202" s="12"/>
      <c r="D202" s="12"/>
      <c r="E202" s="12"/>
      <c r="F202" s="12"/>
      <c r="G202" s="12"/>
      <c r="H202" s="12"/>
      <c r="I202" s="12"/>
      <c r="J202" s="12"/>
      <c r="K202" s="12"/>
      <c r="L202" s="12"/>
      <c r="M202" s="12"/>
      <c r="N202" s="12"/>
      <c r="O202" s="12"/>
    </row>
    <row r="203" spans="3:15" ht="12.75" customHeight="1">
      <c r="C203" s="12"/>
      <c r="D203" s="12"/>
      <c r="E203" s="12"/>
      <c r="F203" s="12"/>
      <c r="G203" s="12"/>
      <c r="H203" s="12"/>
      <c r="I203" s="12"/>
      <c r="J203" s="12"/>
      <c r="K203" s="12"/>
      <c r="L203" s="12"/>
      <c r="M203" s="12"/>
      <c r="N203" s="12"/>
      <c r="O203" s="12"/>
    </row>
    <row r="204" spans="3:15" ht="12.75" customHeight="1">
      <c r="C204" s="12"/>
      <c r="D204" s="12"/>
      <c r="E204" s="12"/>
      <c r="F204" s="12"/>
      <c r="G204" s="12"/>
      <c r="H204" s="12"/>
      <c r="I204" s="12"/>
      <c r="J204" s="12"/>
      <c r="K204" s="12"/>
      <c r="L204" s="12"/>
      <c r="M204" s="12"/>
      <c r="N204" s="12"/>
      <c r="O204" s="12"/>
    </row>
    <row r="205" spans="3:15" ht="12.75" customHeight="1">
      <c r="C205" s="12"/>
      <c r="D205" s="12"/>
      <c r="E205" s="12"/>
      <c r="F205" s="12"/>
      <c r="G205" s="12"/>
      <c r="H205" s="12"/>
      <c r="I205" s="12"/>
      <c r="J205" s="12"/>
      <c r="K205" s="12"/>
      <c r="L205" s="12"/>
      <c r="M205" s="12"/>
      <c r="N205" s="12"/>
      <c r="O205" s="12"/>
    </row>
    <row r="206" spans="3:15" ht="12.75" customHeight="1">
      <c r="C206" s="12"/>
      <c r="D206" s="12"/>
      <c r="E206" s="12"/>
      <c r="F206" s="12"/>
      <c r="G206" s="12"/>
      <c r="H206" s="12"/>
      <c r="I206" s="12"/>
      <c r="J206" s="12"/>
      <c r="K206" s="12"/>
      <c r="L206" s="12"/>
      <c r="M206" s="12"/>
      <c r="N206" s="12"/>
      <c r="O206" s="12"/>
    </row>
    <row r="207" spans="3:15" ht="12.75" customHeight="1">
      <c r="C207" s="12"/>
      <c r="D207" s="12"/>
      <c r="E207" s="12"/>
      <c r="F207" s="12"/>
      <c r="G207" s="12"/>
      <c r="H207" s="12"/>
      <c r="I207" s="12"/>
      <c r="J207" s="12"/>
      <c r="K207" s="12"/>
      <c r="L207" s="12"/>
      <c r="M207" s="12"/>
      <c r="N207" s="12"/>
      <c r="O207" s="12"/>
    </row>
    <row r="208" spans="3:15" ht="12.75" customHeight="1">
      <c r="C208" s="12"/>
      <c r="D208" s="12"/>
      <c r="E208" s="12"/>
      <c r="F208" s="12"/>
      <c r="G208" s="12"/>
      <c r="H208" s="12"/>
      <c r="I208" s="12"/>
      <c r="J208" s="12"/>
      <c r="K208" s="12"/>
      <c r="L208" s="12"/>
      <c r="M208" s="12"/>
      <c r="N208" s="12"/>
      <c r="O208" s="12"/>
    </row>
    <row r="209" spans="3:15" ht="12.75" customHeight="1">
      <c r="C209" s="12"/>
      <c r="D209" s="12"/>
      <c r="E209" s="12"/>
      <c r="F209" s="12"/>
      <c r="G209" s="12"/>
      <c r="H209" s="12"/>
      <c r="I209" s="12"/>
      <c r="J209" s="12"/>
      <c r="K209" s="12"/>
      <c r="L209" s="12"/>
      <c r="M209" s="12"/>
      <c r="N209" s="12"/>
      <c r="O209" s="12"/>
    </row>
    <row r="210" spans="3:15" ht="12.75" customHeight="1">
      <c r="C210" s="12"/>
      <c r="D210" s="12"/>
      <c r="E210" s="12"/>
      <c r="F210" s="12"/>
      <c r="G210" s="12"/>
      <c r="H210" s="12"/>
      <c r="I210" s="12"/>
      <c r="J210" s="12"/>
      <c r="K210" s="12"/>
      <c r="L210" s="12"/>
      <c r="M210" s="12"/>
      <c r="N210" s="12"/>
      <c r="O210" s="12"/>
    </row>
    <row r="211" spans="3:15" ht="12.75" customHeight="1">
      <c r="C211" s="12"/>
      <c r="D211" s="12"/>
      <c r="E211" s="12"/>
      <c r="F211" s="12"/>
      <c r="G211" s="12"/>
      <c r="H211" s="12"/>
      <c r="I211" s="12"/>
      <c r="J211" s="12"/>
      <c r="K211" s="12"/>
      <c r="L211" s="12"/>
      <c r="M211" s="12"/>
      <c r="N211" s="12"/>
      <c r="O211" s="12"/>
    </row>
    <row r="212" spans="3:15" ht="12.75" customHeight="1">
      <c r="C212" s="12"/>
      <c r="D212" s="12"/>
      <c r="E212" s="12"/>
      <c r="F212" s="12"/>
      <c r="G212" s="12"/>
      <c r="H212" s="12"/>
      <c r="I212" s="12"/>
      <c r="J212" s="12"/>
      <c r="K212" s="12"/>
      <c r="L212" s="12"/>
      <c r="M212" s="12"/>
      <c r="N212" s="12"/>
      <c r="O212" s="12"/>
    </row>
    <row r="213" spans="3:15" ht="12.75" customHeight="1">
      <c r="C213" s="12"/>
      <c r="D213" s="12"/>
      <c r="E213" s="12"/>
      <c r="F213" s="12"/>
      <c r="G213" s="12"/>
      <c r="H213" s="12"/>
      <c r="I213" s="12"/>
      <c r="J213" s="12"/>
      <c r="K213" s="12"/>
      <c r="L213" s="12"/>
      <c r="M213" s="12"/>
      <c r="N213" s="12"/>
      <c r="O213" s="12"/>
    </row>
    <row r="214" spans="3:15" ht="12.75" customHeight="1">
      <c r="C214" s="12"/>
      <c r="D214" s="12"/>
      <c r="E214" s="12"/>
      <c r="F214" s="12"/>
      <c r="G214" s="12"/>
      <c r="H214" s="12"/>
      <c r="I214" s="12"/>
      <c r="J214" s="12"/>
      <c r="K214" s="12"/>
      <c r="L214" s="12"/>
      <c r="M214" s="12"/>
      <c r="N214" s="12"/>
      <c r="O214" s="12"/>
    </row>
    <row r="215" spans="3:15" ht="12.75" customHeight="1">
      <c r="C215" s="12"/>
      <c r="D215" s="12"/>
      <c r="E215" s="12"/>
      <c r="F215" s="12"/>
      <c r="G215" s="12"/>
      <c r="H215" s="12"/>
      <c r="I215" s="12"/>
      <c r="J215" s="12"/>
      <c r="K215" s="12"/>
      <c r="L215" s="12"/>
      <c r="M215" s="12"/>
      <c r="N215" s="12"/>
      <c r="O215" s="12"/>
    </row>
    <row r="216" spans="3:15" ht="12.75" customHeight="1">
      <c r="C216" s="12"/>
      <c r="D216" s="12"/>
      <c r="E216" s="12"/>
      <c r="F216" s="12"/>
      <c r="G216" s="12"/>
      <c r="H216" s="12"/>
      <c r="I216" s="12"/>
      <c r="J216" s="12"/>
      <c r="K216" s="12"/>
      <c r="L216" s="12"/>
      <c r="M216" s="12"/>
      <c r="N216" s="12"/>
      <c r="O216" s="12"/>
    </row>
    <row r="217" spans="3:15" ht="12.75" customHeight="1">
      <c r="C217" s="12"/>
      <c r="D217" s="12"/>
      <c r="E217" s="12"/>
      <c r="F217" s="12"/>
      <c r="G217" s="12"/>
      <c r="H217" s="12"/>
      <c r="I217" s="12"/>
      <c r="J217" s="12"/>
      <c r="K217" s="12"/>
      <c r="L217" s="12"/>
      <c r="M217" s="12"/>
      <c r="N217" s="12"/>
      <c r="O217" s="12"/>
    </row>
    <row r="218" spans="3:15" ht="12.75" customHeight="1">
      <c r="C218" s="12"/>
      <c r="D218" s="12"/>
      <c r="E218" s="12"/>
      <c r="F218" s="12"/>
      <c r="G218" s="12"/>
      <c r="H218" s="12"/>
      <c r="I218" s="12"/>
      <c r="J218" s="12"/>
      <c r="K218" s="12"/>
      <c r="L218" s="12"/>
      <c r="M218" s="12"/>
      <c r="N218" s="12"/>
      <c r="O218" s="12"/>
    </row>
    <row r="219" spans="3:15" ht="12.75" customHeight="1">
      <c r="C219" s="12"/>
      <c r="D219" s="12"/>
      <c r="E219" s="12"/>
      <c r="F219" s="12"/>
      <c r="G219" s="12"/>
      <c r="H219" s="12"/>
      <c r="I219" s="12"/>
      <c r="J219" s="12"/>
      <c r="K219" s="12"/>
      <c r="L219" s="12"/>
      <c r="M219" s="12"/>
      <c r="N219" s="12"/>
      <c r="O219" s="12"/>
    </row>
    <row r="220" spans="3:15" ht="12.75" customHeight="1">
      <c r="C220" s="12"/>
      <c r="D220" s="12"/>
      <c r="E220" s="12"/>
      <c r="F220" s="12"/>
      <c r="G220" s="12"/>
      <c r="H220" s="12"/>
      <c r="I220" s="12"/>
      <c r="J220" s="12"/>
      <c r="K220" s="12"/>
      <c r="L220" s="12"/>
      <c r="M220" s="12"/>
      <c r="N220" s="12"/>
      <c r="O220" s="12"/>
    </row>
    <row r="221" spans="3:15" ht="12.75" customHeight="1">
      <c r="C221" s="12"/>
      <c r="D221" s="12"/>
      <c r="E221" s="12"/>
      <c r="F221" s="12"/>
      <c r="G221" s="12"/>
      <c r="H221" s="12"/>
      <c r="I221" s="12"/>
      <c r="J221" s="12"/>
      <c r="K221" s="12"/>
      <c r="L221" s="12"/>
      <c r="M221" s="12"/>
      <c r="N221" s="12"/>
      <c r="O221" s="12"/>
    </row>
    <row r="222" spans="3:15" ht="12.75" customHeight="1">
      <c r="C222" s="12"/>
      <c r="D222" s="12"/>
      <c r="E222" s="12"/>
      <c r="F222" s="12"/>
      <c r="G222" s="12"/>
      <c r="H222" s="12"/>
      <c r="I222" s="12"/>
      <c r="J222" s="12"/>
      <c r="K222" s="12"/>
      <c r="L222" s="12"/>
      <c r="M222" s="12"/>
      <c r="N222" s="12"/>
      <c r="O222" s="12"/>
    </row>
    <row r="223" spans="3:15" ht="12.75" customHeight="1">
      <c r="C223" s="12"/>
      <c r="D223" s="12"/>
      <c r="E223" s="12"/>
      <c r="F223" s="12"/>
      <c r="G223" s="12"/>
      <c r="H223" s="12"/>
      <c r="I223" s="12"/>
      <c r="J223" s="12"/>
      <c r="K223" s="12"/>
      <c r="L223" s="12"/>
      <c r="M223" s="12"/>
      <c r="N223" s="12"/>
      <c r="O223" s="12"/>
    </row>
    <row r="224" spans="3:15" ht="12.75" customHeight="1">
      <c r="C224" s="12"/>
      <c r="D224" s="12"/>
      <c r="E224" s="12"/>
      <c r="F224" s="12"/>
      <c r="G224" s="12"/>
      <c r="H224" s="12"/>
      <c r="I224" s="12"/>
      <c r="J224" s="12"/>
      <c r="K224" s="12"/>
      <c r="L224" s="12"/>
      <c r="M224" s="12"/>
      <c r="N224" s="12"/>
      <c r="O224" s="12"/>
    </row>
    <row r="225" spans="3:15" ht="12.75" customHeight="1">
      <c r="C225" s="12"/>
      <c r="D225" s="12"/>
      <c r="E225" s="12"/>
      <c r="F225" s="12"/>
      <c r="G225" s="12"/>
      <c r="H225" s="12"/>
      <c r="I225" s="12"/>
      <c r="J225" s="12"/>
      <c r="K225" s="12"/>
      <c r="L225" s="12"/>
      <c r="M225" s="12"/>
      <c r="N225" s="12"/>
      <c r="O225" s="12"/>
    </row>
    <row r="226" spans="3:15" ht="12.75" customHeight="1">
      <c r="C226" s="12"/>
      <c r="D226" s="12"/>
      <c r="E226" s="12"/>
      <c r="F226" s="12"/>
      <c r="G226" s="12"/>
      <c r="H226" s="12"/>
      <c r="I226" s="12"/>
      <c r="J226" s="12"/>
      <c r="K226" s="12"/>
      <c r="L226" s="12"/>
      <c r="M226" s="12"/>
      <c r="N226" s="12"/>
      <c r="O226" s="12"/>
    </row>
    <row r="227" spans="3:15" ht="12.75" customHeight="1">
      <c r="C227" s="12"/>
      <c r="D227" s="12"/>
      <c r="E227" s="12"/>
      <c r="F227" s="12"/>
      <c r="G227" s="12"/>
      <c r="H227" s="12"/>
      <c r="I227" s="12"/>
      <c r="J227" s="12"/>
      <c r="K227" s="12"/>
      <c r="L227" s="12"/>
      <c r="M227" s="12"/>
      <c r="N227" s="12"/>
      <c r="O227" s="12"/>
    </row>
    <row r="228" spans="3:15" ht="12.75" customHeight="1">
      <c r="C228" s="12"/>
      <c r="D228" s="12"/>
      <c r="E228" s="12"/>
      <c r="F228" s="12"/>
      <c r="G228" s="12"/>
      <c r="H228" s="12"/>
      <c r="I228" s="12"/>
      <c r="J228" s="12"/>
      <c r="K228" s="12"/>
      <c r="L228" s="12"/>
      <c r="M228" s="12"/>
      <c r="N228" s="12"/>
      <c r="O228" s="12"/>
    </row>
    <row r="229" spans="3:15" ht="12.75" customHeight="1">
      <c r="C229" s="12"/>
      <c r="D229" s="12"/>
      <c r="E229" s="12"/>
      <c r="F229" s="12"/>
      <c r="G229" s="12"/>
      <c r="H229" s="12"/>
      <c r="I229" s="12"/>
      <c r="J229" s="12"/>
      <c r="K229" s="12"/>
      <c r="L229" s="12"/>
      <c r="M229" s="12"/>
      <c r="N229" s="12"/>
      <c r="O229" s="12"/>
    </row>
    <row r="230" spans="3:15" ht="12.75" customHeight="1">
      <c r="C230" s="12"/>
      <c r="D230" s="12"/>
      <c r="E230" s="12"/>
      <c r="F230" s="12"/>
      <c r="G230" s="12"/>
      <c r="H230" s="12"/>
      <c r="I230" s="12"/>
      <c r="J230" s="12"/>
      <c r="K230" s="12"/>
      <c r="L230" s="12"/>
      <c r="M230" s="12"/>
      <c r="N230" s="12"/>
      <c r="O230" s="12"/>
    </row>
    <row r="231" spans="3:15" ht="12.75" customHeight="1">
      <c r="C231" s="12"/>
      <c r="D231" s="12"/>
      <c r="E231" s="12"/>
      <c r="F231" s="12"/>
      <c r="G231" s="12"/>
      <c r="H231" s="12"/>
      <c r="I231" s="12"/>
      <c r="J231" s="12"/>
      <c r="K231" s="12"/>
      <c r="L231" s="12"/>
      <c r="M231" s="12"/>
      <c r="N231" s="12"/>
      <c r="O231" s="12"/>
    </row>
    <row r="232" spans="3:15" ht="12.75" customHeight="1">
      <c r="C232" s="12"/>
      <c r="D232" s="12"/>
      <c r="E232" s="12"/>
      <c r="F232" s="12"/>
      <c r="G232" s="12"/>
      <c r="H232" s="12"/>
      <c r="I232" s="12"/>
      <c r="J232" s="12"/>
      <c r="K232" s="12"/>
      <c r="L232" s="12"/>
      <c r="M232" s="12"/>
      <c r="N232" s="12"/>
      <c r="O232" s="12"/>
    </row>
    <row r="233" spans="3:15" ht="12.75" customHeight="1">
      <c r="C233" s="12"/>
      <c r="D233" s="12"/>
      <c r="E233" s="12"/>
      <c r="F233" s="12"/>
      <c r="G233" s="12"/>
      <c r="H233" s="12"/>
      <c r="I233" s="12"/>
      <c r="J233" s="12"/>
      <c r="K233" s="12"/>
      <c r="L233" s="12"/>
      <c r="M233" s="12"/>
      <c r="N233" s="12"/>
      <c r="O233" s="12"/>
    </row>
    <row r="234" spans="3:15" ht="12.75" customHeight="1">
      <c r="C234" s="12"/>
      <c r="D234" s="12"/>
      <c r="E234" s="12"/>
      <c r="F234" s="12"/>
      <c r="G234" s="12"/>
      <c r="H234" s="12"/>
      <c r="I234" s="12"/>
      <c r="J234" s="12"/>
      <c r="K234" s="12"/>
      <c r="L234" s="12"/>
      <c r="M234" s="12"/>
      <c r="N234" s="12"/>
      <c r="O234" s="12"/>
    </row>
    <row r="235" spans="3:15" ht="12.75" customHeight="1">
      <c r="C235" s="12"/>
      <c r="D235" s="12"/>
      <c r="E235" s="12"/>
      <c r="F235" s="12"/>
      <c r="G235" s="12"/>
      <c r="H235" s="12"/>
      <c r="I235" s="12"/>
      <c r="J235" s="12"/>
      <c r="K235" s="12"/>
      <c r="L235" s="12"/>
      <c r="M235" s="12"/>
      <c r="N235" s="12"/>
      <c r="O235" s="12"/>
    </row>
    <row r="236" spans="3:15" ht="12.75">
      <c r="C236" s="12"/>
      <c r="D236" s="12"/>
      <c r="E236" s="12"/>
      <c r="F236" s="12"/>
      <c r="G236" s="12"/>
      <c r="H236" s="12"/>
      <c r="I236" s="12"/>
      <c r="J236" s="12"/>
      <c r="K236" s="12"/>
      <c r="L236" s="12"/>
      <c r="M236" s="12"/>
      <c r="N236" s="12"/>
      <c r="O236" s="12"/>
    </row>
    <row r="237" spans="3:15" ht="12.75">
      <c r="C237" s="12"/>
      <c r="D237" s="12"/>
      <c r="E237" s="12"/>
      <c r="F237" s="12"/>
      <c r="G237" s="12"/>
      <c r="H237" s="12"/>
      <c r="I237" s="12"/>
      <c r="J237" s="12"/>
      <c r="K237" s="12"/>
      <c r="L237" s="12"/>
      <c r="M237" s="12"/>
      <c r="N237" s="12"/>
      <c r="O237" s="12"/>
    </row>
    <row r="238" spans="3:15" ht="12.75">
      <c r="C238" s="12"/>
      <c r="D238" s="12"/>
      <c r="E238" s="12"/>
      <c r="F238" s="12"/>
      <c r="G238" s="12"/>
      <c r="H238" s="12"/>
      <c r="I238" s="12"/>
      <c r="J238" s="12"/>
      <c r="K238" s="12"/>
      <c r="L238" s="12"/>
      <c r="M238" s="12"/>
      <c r="N238" s="12"/>
      <c r="O238" s="12"/>
    </row>
    <row r="239" spans="3:15" ht="12.75">
      <c r="C239" s="12"/>
      <c r="D239" s="12"/>
      <c r="E239" s="12"/>
      <c r="F239" s="12"/>
      <c r="G239" s="12"/>
      <c r="H239" s="12"/>
      <c r="I239" s="12"/>
      <c r="J239" s="12"/>
      <c r="K239" s="12"/>
      <c r="L239" s="12"/>
      <c r="M239" s="12"/>
      <c r="N239" s="12"/>
      <c r="O239" s="12"/>
    </row>
    <row r="240" spans="3:15" ht="12.75">
      <c r="C240" s="12"/>
      <c r="D240" s="12"/>
      <c r="E240" s="12"/>
      <c r="F240" s="12"/>
      <c r="G240" s="12"/>
      <c r="H240" s="12"/>
      <c r="I240" s="12"/>
      <c r="J240" s="12"/>
      <c r="K240" s="12"/>
      <c r="L240" s="12"/>
      <c r="M240" s="12"/>
      <c r="N240" s="12"/>
      <c r="O240" s="12"/>
    </row>
    <row r="241" spans="3:15" ht="12.75">
      <c r="C241" s="12"/>
      <c r="D241" s="12"/>
      <c r="E241" s="12"/>
      <c r="F241" s="12"/>
      <c r="G241" s="12"/>
      <c r="H241" s="12"/>
      <c r="I241" s="12"/>
      <c r="J241" s="12"/>
      <c r="K241" s="12"/>
      <c r="L241" s="12"/>
      <c r="M241" s="12"/>
      <c r="N241" s="12"/>
      <c r="O241" s="12"/>
    </row>
    <row r="242" spans="3:15" ht="12.75">
      <c r="C242" s="12"/>
      <c r="D242" s="12"/>
      <c r="E242" s="12"/>
      <c r="F242" s="12"/>
      <c r="G242" s="12"/>
      <c r="H242" s="12"/>
      <c r="I242" s="12"/>
      <c r="J242" s="12"/>
      <c r="K242" s="12"/>
      <c r="L242" s="12"/>
      <c r="M242" s="12"/>
      <c r="N242" s="12"/>
      <c r="O242" s="12"/>
    </row>
    <row r="243" spans="3:15" ht="12.75">
      <c r="C243" s="12"/>
      <c r="D243" s="12"/>
      <c r="E243" s="12"/>
      <c r="F243" s="12"/>
      <c r="G243" s="12"/>
      <c r="H243" s="12"/>
      <c r="I243" s="12"/>
      <c r="J243" s="12"/>
      <c r="K243" s="12"/>
      <c r="L243" s="12"/>
      <c r="M243" s="12"/>
      <c r="N243" s="12"/>
      <c r="O243" s="12"/>
    </row>
    <row r="244" spans="3:15" ht="12.75">
      <c r="C244" s="12"/>
      <c r="D244" s="12"/>
      <c r="E244" s="12"/>
      <c r="F244" s="12"/>
      <c r="G244" s="12"/>
      <c r="H244" s="12"/>
      <c r="I244" s="12"/>
      <c r="J244" s="12"/>
      <c r="K244" s="12"/>
      <c r="L244" s="12"/>
      <c r="M244" s="12"/>
      <c r="N244" s="12"/>
      <c r="O244" s="12"/>
    </row>
    <row r="245" spans="3:15" ht="12.75">
      <c r="C245" s="12"/>
      <c r="D245" s="12"/>
      <c r="E245" s="12"/>
      <c r="F245" s="12"/>
      <c r="G245" s="12"/>
      <c r="H245" s="12"/>
      <c r="I245" s="12"/>
      <c r="J245" s="12"/>
      <c r="K245" s="12"/>
      <c r="L245" s="12"/>
      <c r="M245" s="12"/>
      <c r="N245" s="12"/>
      <c r="O245" s="12"/>
    </row>
    <row r="246" spans="3:15" ht="12.75">
      <c r="C246" s="12"/>
      <c r="D246" s="12"/>
      <c r="E246" s="12"/>
      <c r="F246" s="12"/>
      <c r="G246" s="12"/>
      <c r="H246" s="12"/>
      <c r="I246" s="12"/>
      <c r="J246" s="12"/>
      <c r="K246" s="12"/>
      <c r="L246" s="12"/>
      <c r="M246" s="12"/>
      <c r="N246" s="12"/>
      <c r="O246" s="12"/>
    </row>
    <row r="247" spans="3:15" ht="12.75">
      <c r="C247" s="12"/>
      <c r="D247" s="12"/>
      <c r="E247" s="12"/>
      <c r="F247" s="12"/>
      <c r="G247" s="12"/>
      <c r="H247" s="12"/>
      <c r="I247" s="12"/>
      <c r="J247" s="12"/>
      <c r="K247" s="12"/>
      <c r="L247" s="12"/>
      <c r="M247" s="12"/>
      <c r="N247" s="12"/>
      <c r="O247" s="12"/>
    </row>
    <row r="248" spans="3:15" ht="12.75">
      <c r="C248" s="12"/>
      <c r="D248" s="12"/>
      <c r="E248" s="12"/>
      <c r="F248" s="12"/>
      <c r="G248" s="12"/>
      <c r="H248" s="12"/>
      <c r="I248" s="12"/>
      <c r="J248" s="12"/>
      <c r="K248" s="12"/>
      <c r="L248" s="12"/>
      <c r="M248" s="12"/>
      <c r="N248" s="12"/>
      <c r="O248" s="12"/>
    </row>
    <row r="249" spans="3:15" ht="12.75">
      <c r="C249" s="12"/>
      <c r="D249" s="12"/>
      <c r="E249" s="12"/>
      <c r="F249" s="12"/>
      <c r="G249" s="12"/>
      <c r="H249" s="12"/>
      <c r="I249" s="12"/>
      <c r="J249" s="12"/>
      <c r="K249" s="12"/>
      <c r="L249" s="12"/>
      <c r="M249" s="12"/>
      <c r="N249" s="12"/>
      <c r="O249" s="12"/>
    </row>
    <row r="250" spans="3:15" ht="12.75">
      <c r="C250" s="12"/>
      <c r="D250" s="12"/>
      <c r="E250" s="12"/>
      <c r="F250" s="12"/>
      <c r="G250" s="12"/>
      <c r="H250" s="12"/>
      <c r="I250" s="12"/>
      <c r="J250" s="12"/>
      <c r="K250" s="12"/>
      <c r="L250" s="12"/>
      <c r="M250" s="12"/>
      <c r="N250" s="12"/>
      <c r="O250" s="12"/>
    </row>
    <row r="251" spans="3:15" ht="12.75">
      <c r="C251" s="12"/>
      <c r="D251" s="12"/>
      <c r="E251" s="12"/>
      <c r="F251" s="12"/>
      <c r="G251" s="12"/>
      <c r="H251" s="12"/>
      <c r="I251" s="12"/>
      <c r="J251" s="12"/>
      <c r="K251" s="12"/>
      <c r="L251" s="12"/>
      <c r="M251" s="12"/>
      <c r="N251" s="12"/>
      <c r="O251" s="12"/>
    </row>
    <row r="252" spans="3:15" ht="12.75">
      <c r="C252" s="12"/>
      <c r="D252" s="12"/>
      <c r="E252" s="12"/>
      <c r="F252" s="12"/>
      <c r="G252" s="12"/>
      <c r="H252" s="12"/>
      <c r="I252" s="12"/>
      <c r="J252" s="12"/>
      <c r="K252" s="12"/>
      <c r="L252" s="12"/>
      <c r="M252" s="12"/>
      <c r="N252" s="12"/>
      <c r="O252" s="12"/>
    </row>
    <row r="253" spans="3:15" ht="12.75">
      <c r="C253" s="12"/>
      <c r="D253" s="12"/>
      <c r="E253" s="12"/>
      <c r="F253" s="12"/>
      <c r="G253" s="12"/>
      <c r="H253" s="12"/>
      <c r="I253" s="12"/>
      <c r="J253" s="12"/>
      <c r="K253" s="12"/>
      <c r="L253" s="12"/>
      <c r="M253" s="12"/>
      <c r="N253" s="12"/>
      <c r="O253" s="12"/>
    </row>
    <row r="254" spans="3:15" ht="12.75">
      <c r="C254" s="12"/>
      <c r="D254" s="12"/>
      <c r="E254" s="12"/>
      <c r="F254" s="12"/>
      <c r="G254" s="12"/>
      <c r="H254" s="12"/>
      <c r="I254" s="12"/>
      <c r="J254" s="12"/>
      <c r="K254" s="12"/>
      <c r="L254" s="12"/>
      <c r="M254" s="12"/>
      <c r="N254" s="12"/>
      <c r="O254" s="12"/>
    </row>
    <row r="255" spans="3:15" ht="12.75">
      <c r="C255" s="12"/>
      <c r="D255" s="12"/>
      <c r="E255" s="12"/>
      <c r="F255" s="12"/>
      <c r="G255" s="12"/>
      <c r="H255" s="12"/>
      <c r="I255" s="12"/>
      <c r="J255" s="12"/>
      <c r="K255" s="12"/>
      <c r="L255" s="12"/>
      <c r="M255" s="12"/>
      <c r="N255" s="12"/>
      <c r="O255" s="12"/>
    </row>
    <row r="256" spans="3:15" ht="12.75">
      <c r="C256" s="12"/>
      <c r="D256" s="12"/>
      <c r="E256" s="12"/>
      <c r="F256" s="12"/>
      <c r="G256" s="12"/>
      <c r="H256" s="12"/>
      <c r="I256" s="12"/>
      <c r="J256" s="12"/>
      <c r="K256" s="12"/>
      <c r="L256" s="12"/>
      <c r="M256" s="12"/>
      <c r="N256" s="12"/>
      <c r="O256" s="12"/>
    </row>
    <row r="257" spans="3:15" ht="12.75">
      <c r="C257" s="12"/>
      <c r="D257" s="12"/>
      <c r="E257" s="12"/>
      <c r="F257" s="12"/>
      <c r="G257" s="12"/>
      <c r="H257" s="12"/>
      <c r="I257" s="12"/>
      <c r="J257" s="12"/>
      <c r="K257" s="12"/>
      <c r="L257" s="12"/>
      <c r="M257" s="12"/>
      <c r="N257" s="12"/>
      <c r="O257" s="12"/>
    </row>
    <row r="258" spans="3:15" ht="12.75">
      <c r="C258" s="12"/>
      <c r="D258" s="12"/>
      <c r="E258" s="12"/>
      <c r="F258" s="12"/>
      <c r="G258" s="12"/>
      <c r="H258" s="12"/>
      <c r="I258" s="12"/>
      <c r="J258" s="12"/>
      <c r="K258" s="12"/>
      <c r="L258" s="12"/>
      <c r="M258" s="12"/>
      <c r="N258" s="12"/>
      <c r="O258" s="12"/>
    </row>
    <row r="259" spans="3:15" ht="12.75">
      <c r="C259" s="12"/>
      <c r="D259" s="12"/>
      <c r="E259" s="12"/>
      <c r="F259" s="12"/>
      <c r="G259" s="12"/>
      <c r="H259" s="12"/>
      <c r="I259" s="12"/>
      <c r="J259" s="12"/>
      <c r="K259" s="12"/>
      <c r="L259" s="12"/>
      <c r="M259" s="12"/>
      <c r="N259" s="12"/>
      <c r="O259" s="12"/>
    </row>
    <row r="260" spans="3:15" ht="12.75">
      <c r="C260" s="12"/>
      <c r="D260" s="12"/>
      <c r="E260" s="12"/>
      <c r="F260" s="12"/>
      <c r="G260" s="12"/>
      <c r="H260" s="12"/>
      <c r="I260" s="12"/>
      <c r="J260" s="12"/>
      <c r="K260" s="12"/>
      <c r="L260" s="12"/>
      <c r="M260" s="12"/>
      <c r="N260" s="12"/>
      <c r="O260" s="12"/>
    </row>
    <row r="261" spans="3:15" ht="12.75">
      <c r="C261" s="12"/>
      <c r="D261" s="12"/>
      <c r="E261" s="12"/>
      <c r="F261" s="12"/>
      <c r="G261" s="12"/>
      <c r="H261" s="12"/>
      <c r="I261" s="12"/>
      <c r="J261" s="12"/>
      <c r="K261" s="12"/>
      <c r="L261" s="12"/>
      <c r="M261" s="12"/>
      <c r="N261" s="12"/>
      <c r="O261" s="12"/>
    </row>
    <row r="262" spans="3:15" ht="12.75">
      <c r="C262" s="12"/>
      <c r="D262" s="12"/>
      <c r="E262" s="12"/>
      <c r="F262" s="12"/>
      <c r="G262" s="12"/>
      <c r="H262" s="12"/>
      <c r="I262" s="12"/>
      <c r="J262" s="12"/>
      <c r="K262" s="12"/>
      <c r="L262" s="12"/>
      <c r="M262" s="12"/>
      <c r="N262" s="12"/>
      <c r="O262" s="12"/>
    </row>
    <row r="263" spans="3:15" ht="12.75">
      <c r="C263" s="12"/>
      <c r="D263" s="12"/>
      <c r="E263" s="12"/>
      <c r="F263" s="12"/>
      <c r="G263" s="12"/>
      <c r="H263" s="12"/>
      <c r="I263" s="12"/>
      <c r="J263" s="12"/>
      <c r="K263" s="12"/>
      <c r="L263" s="12"/>
      <c r="M263" s="12"/>
      <c r="N263" s="12"/>
      <c r="O263" s="12"/>
    </row>
    <row r="264" spans="3:15" ht="12.75">
      <c r="C264" s="12"/>
      <c r="D264" s="12"/>
      <c r="E264" s="12"/>
      <c r="F264" s="12"/>
      <c r="G264" s="12"/>
      <c r="H264" s="12"/>
      <c r="I264" s="12"/>
      <c r="J264" s="12"/>
      <c r="K264" s="12"/>
      <c r="L264" s="12"/>
      <c r="M264" s="12"/>
      <c r="N264" s="12"/>
      <c r="O264" s="12"/>
    </row>
    <row r="265" spans="3:15" ht="12.75">
      <c r="C265" s="12"/>
      <c r="D265" s="12"/>
      <c r="E265" s="12"/>
      <c r="F265" s="12"/>
      <c r="G265" s="12"/>
      <c r="H265" s="12"/>
      <c r="I265" s="12"/>
      <c r="J265" s="12"/>
      <c r="K265" s="12"/>
      <c r="L265" s="12"/>
      <c r="M265" s="12"/>
      <c r="N265" s="12"/>
      <c r="O265" s="12"/>
    </row>
    <row r="266" spans="3:15" ht="12.75">
      <c r="C266" s="12"/>
      <c r="D266" s="12"/>
      <c r="E266" s="12"/>
      <c r="F266" s="12"/>
      <c r="G266" s="12"/>
      <c r="H266" s="12"/>
      <c r="I266" s="12"/>
      <c r="J266" s="12"/>
      <c r="K266" s="12"/>
      <c r="L266" s="12"/>
      <c r="M266" s="12"/>
      <c r="N266" s="12"/>
      <c r="O266" s="12"/>
    </row>
    <row r="267" spans="3:15" ht="12.75">
      <c r="C267" s="12"/>
      <c r="D267" s="12"/>
      <c r="E267" s="12"/>
      <c r="F267" s="12"/>
      <c r="G267" s="12"/>
      <c r="H267" s="12"/>
      <c r="I267" s="12"/>
      <c r="J267" s="12"/>
      <c r="K267" s="12"/>
      <c r="L267" s="12"/>
      <c r="M267" s="12"/>
      <c r="N267" s="12"/>
      <c r="O267" s="12"/>
    </row>
    <row r="268" spans="3:15" ht="12.75">
      <c r="C268" s="12"/>
      <c r="D268" s="12"/>
      <c r="E268" s="12"/>
      <c r="F268" s="12"/>
      <c r="G268" s="12"/>
      <c r="H268" s="12"/>
      <c r="I268" s="12"/>
      <c r="J268" s="12"/>
      <c r="K268" s="12"/>
      <c r="L268" s="12"/>
      <c r="M268" s="12"/>
      <c r="N268" s="12"/>
      <c r="O268" s="12"/>
    </row>
    <row r="269" spans="3:15" ht="12.75">
      <c r="C269" s="12"/>
      <c r="D269" s="12"/>
      <c r="E269" s="12"/>
      <c r="F269" s="12"/>
      <c r="G269" s="12"/>
      <c r="H269" s="12"/>
      <c r="I269" s="12"/>
      <c r="J269" s="12"/>
      <c r="K269" s="12"/>
      <c r="L269" s="12"/>
      <c r="M269" s="12"/>
      <c r="N269" s="12"/>
      <c r="O269" s="12"/>
    </row>
    <row r="270" spans="3:15" ht="12.75">
      <c r="C270" s="12"/>
      <c r="D270" s="12"/>
      <c r="E270" s="12"/>
      <c r="F270" s="12"/>
      <c r="G270" s="12"/>
      <c r="H270" s="12"/>
      <c r="I270" s="12"/>
      <c r="J270" s="12"/>
      <c r="K270" s="12"/>
      <c r="L270" s="12"/>
      <c r="M270" s="12"/>
      <c r="N270" s="12"/>
      <c r="O270" s="12"/>
    </row>
    <row r="271" spans="3:15" ht="12.75">
      <c r="C271" s="12"/>
      <c r="D271" s="12"/>
      <c r="E271" s="12"/>
      <c r="F271" s="12"/>
      <c r="G271" s="12"/>
      <c r="H271" s="12"/>
      <c r="I271" s="12"/>
      <c r="J271" s="12"/>
      <c r="K271" s="12"/>
      <c r="L271" s="12"/>
      <c r="M271" s="12"/>
      <c r="N271" s="12"/>
      <c r="O271" s="12"/>
    </row>
    <row r="272" spans="3:15" ht="12.75">
      <c r="C272" s="12"/>
      <c r="D272" s="12"/>
      <c r="E272" s="12"/>
      <c r="F272" s="12"/>
      <c r="G272" s="12"/>
      <c r="H272" s="12"/>
      <c r="I272" s="12"/>
      <c r="J272" s="12"/>
      <c r="K272" s="12"/>
      <c r="L272" s="12"/>
      <c r="M272" s="12"/>
      <c r="N272" s="12"/>
      <c r="O272" s="12"/>
    </row>
    <row r="273" spans="3:15" ht="12.75">
      <c r="C273" s="12"/>
      <c r="D273" s="12"/>
      <c r="E273" s="12"/>
      <c r="F273" s="12"/>
      <c r="G273" s="12"/>
      <c r="H273" s="12"/>
      <c r="I273" s="12"/>
      <c r="J273" s="12"/>
      <c r="K273" s="12"/>
      <c r="L273" s="12"/>
      <c r="M273" s="12"/>
      <c r="N273" s="12"/>
      <c r="O273" s="12"/>
    </row>
    <row r="274" spans="3:15" ht="12.75">
      <c r="C274" s="12"/>
      <c r="D274" s="12"/>
      <c r="E274" s="12"/>
      <c r="F274" s="12"/>
      <c r="G274" s="12"/>
      <c r="H274" s="12"/>
      <c r="I274" s="12"/>
      <c r="J274" s="12"/>
      <c r="K274" s="12"/>
      <c r="L274" s="12"/>
      <c r="M274" s="12"/>
      <c r="N274" s="12"/>
      <c r="O274" s="12"/>
    </row>
    <row r="275" spans="3:15" ht="12.75">
      <c r="C275" s="12"/>
      <c r="D275" s="12"/>
      <c r="E275" s="12"/>
      <c r="F275" s="12"/>
      <c r="G275" s="12"/>
      <c r="H275" s="12"/>
      <c r="I275" s="12"/>
      <c r="J275" s="12"/>
      <c r="K275" s="12"/>
      <c r="L275" s="12"/>
      <c r="M275" s="12"/>
      <c r="N275" s="12"/>
      <c r="O275" s="12"/>
    </row>
    <row r="276" spans="3:15" ht="12.75">
      <c r="C276" s="12"/>
      <c r="D276" s="12"/>
      <c r="E276" s="12"/>
      <c r="F276" s="12"/>
      <c r="G276" s="12"/>
      <c r="H276" s="12"/>
      <c r="I276" s="12"/>
      <c r="J276" s="12"/>
      <c r="K276" s="12"/>
      <c r="L276" s="12"/>
      <c r="M276" s="12"/>
      <c r="N276" s="12"/>
      <c r="O276" s="12"/>
    </row>
    <row r="277" spans="3:15" ht="12.75">
      <c r="C277" s="12"/>
      <c r="D277" s="12"/>
      <c r="E277" s="12"/>
      <c r="F277" s="12"/>
      <c r="G277" s="12"/>
      <c r="H277" s="12"/>
      <c r="I277" s="12"/>
      <c r="J277" s="12"/>
      <c r="K277" s="12"/>
      <c r="L277" s="12"/>
      <c r="M277" s="12"/>
      <c r="N277" s="12"/>
      <c r="O277" s="12"/>
    </row>
    <row r="278" spans="3:15" ht="12.75">
      <c r="C278" s="12"/>
      <c r="D278" s="12"/>
      <c r="E278" s="12"/>
      <c r="F278" s="12"/>
      <c r="G278" s="12"/>
      <c r="H278" s="12"/>
      <c r="I278" s="12"/>
      <c r="J278" s="12"/>
      <c r="K278" s="12"/>
      <c r="L278" s="12"/>
      <c r="M278" s="12"/>
      <c r="N278" s="12"/>
      <c r="O278" s="12"/>
    </row>
    <row r="279" spans="3:15" ht="12.75">
      <c r="C279" s="12"/>
      <c r="D279" s="12"/>
      <c r="E279" s="12"/>
      <c r="F279" s="12"/>
      <c r="G279" s="12"/>
      <c r="H279" s="12"/>
      <c r="I279" s="12"/>
      <c r="J279" s="12"/>
      <c r="K279" s="12"/>
      <c r="L279" s="12"/>
      <c r="M279" s="12"/>
      <c r="N279" s="12"/>
      <c r="O279" s="12"/>
    </row>
    <row r="280" spans="3:15" ht="12.75">
      <c r="C280" s="12"/>
      <c r="D280" s="12"/>
      <c r="E280" s="12"/>
      <c r="F280" s="12"/>
      <c r="G280" s="12"/>
      <c r="H280" s="12"/>
      <c r="I280" s="12"/>
      <c r="J280" s="12"/>
      <c r="K280" s="12"/>
      <c r="L280" s="12"/>
      <c r="M280" s="12"/>
      <c r="N280" s="12"/>
      <c r="O280" s="12"/>
    </row>
    <row r="281" spans="3:15" ht="12.75">
      <c r="C281" s="12"/>
      <c r="D281" s="12"/>
      <c r="E281" s="12"/>
      <c r="F281" s="12"/>
      <c r="G281" s="12"/>
      <c r="H281" s="12"/>
      <c r="I281" s="12"/>
      <c r="J281" s="12"/>
      <c r="K281" s="12"/>
      <c r="L281" s="12"/>
      <c r="M281" s="12"/>
      <c r="N281" s="12"/>
      <c r="O281" s="12"/>
    </row>
    <row r="282" spans="3:15" ht="12.75">
      <c r="C282" s="12"/>
      <c r="D282" s="12"/>
      <c r="E282" s="12"/>
      <c r="F282" s="12"/>
      <c r="G282" s="12"/>
      <c r="H282" s="12"/>
      <c r="I282" s="12"/>
      <c r="J282" s="12"/>
      <c r="K282" s="12"/>
      <c r="L282" s="12"/>
      <c r="M282" s="12"/>
      <c r="N282" s="12"/>
      <c r="O282" s="12"/>
    </row>
    <row r="283" spans="3:15" ht="12.75">
      <c r="C283" s="12"/>
      <c r="D283" s="12"/>
      <c r="E283" s="12"/>
      <c r="F283" s="12"/>
      <c r="G283" s="12"/>
      <c r="H283" s="12"/>
      <c r="I283" s="12"/>
      <c r="J283" s="12"/>
      <c r="K283" s="12"/>
      <c r="L283" s="12"/>
      <c r="M283" s="12"/>
      <c r="N283" s="12"/>
      <c r="O283" s="12"/>
    </row>
    <row r="284" spans="3:15" ht="12.75">
      <c r="C284" s="12"/>
      <c r="D284" s="12"/>
      <c r="E284" s="12"/>
      <c r="F284" s="12"/>
      <c r="G284" s="12"/>
      <c r="H284" s="12"/>
      <c r="I284" s="12"/>
      <c r="J284" s="12"/>
      <c r="K284" s="12"/>
      <c r="L284" s="12"/>
      <c r="M284" s="12"/>
      <c r="N284" s="12"/>
      <c r="O284" s="12"/>
    </row>
    <row r="285" spans="3:15" ht="12.75">
      <c r="C285" s="12"/>
      <c r="D285" s="12"/>
      <c r="E285" s="12"/>
      <c r="F285" s="12"/>
      <c r="G285" s="12"/>
      <c r="H285" s="12"/>
      <c r="I285" s="12"/>
      <c r="J285" s="12"/>
      <c r="K285" s="12"/>
      <c r="L285" s="12"/>
      <c r="M285" s="12"/>
      <c r="N285" s="12"/>
      <c r="O285" s="12"/>
    </row>
    <row r="286" spans="3:15" ht="12.75">
      <c r="C286" s="12"/>
      <c r="D286" s="12"/>
      <c r="E286" s="12"/>
      <c r="F286" s="12"/>
      <c r="G286" s="12"/>
      <c r="H286" s="12"/>
      <c r="I286" s="12"/>
      <c r="J286" s="12"/>
      <c r="K286" s="12"/>
      <c r="L286" s="12"/>
      <c r="M286" s="12"/>
      <c r="N286" s="12"/>
      <c r="O286" s="12"/>
    </row>
    <row r="287" spans="3:15" ht="12.75">
      <c r="C287" s="12"/>
      <c r="D287" s="12"/>
      <c r="E287" s="12"/>
      <c r="F287" s="12"/>
      <c r="G287" s="12"/>
      <c r="H287" s="12"/>
      <c r="I287" s="12"/>
      <c r="J287" s="12"/>
      <c r="K287" s="12"/>
      <c r="L287" s="12"/>
      <c r="M287" s="12"/>
      <c r="N287" s="12"/>
      <c r="O287" s="12"/>
    </row>
    <row r="288" spans="3:15" ht="12.75">
      <c r="C288" s="12"/>
      <c r="D288" s="12"/>
      <c r="E288" s="12"/>
      <c r="F288" s="12"/>
      <c r="G288" s="12"/>
      <c r="H288" s="12"/>
      <c r="I288" s="12"/>
      <c r="J288" s="12"/>
      <c r="K288" s="12"/>
      <c r="L288" s="12"/>
      <c r="M288" s="12"/>
      <c r="N288" s="12"/>
      <c r="O288" s="12"/>
    </row>
    <row r="289" spans="3:15" ht="12.75">
      <c r="C289" s="12"/>
      <c r="D289" s="12"/>
      <c r="E289" s="12"/>
      <c r="F289" s="12"/>
      <c r="G289" s="12"/>
      <c r="H289" s="12"/>
      <c r="I289" s="12"/>
      <c r="J289" s="12"/>
      <c r="K289" s="12"/>
      <c r="L289" s="12"/>
      <c r="M289" s="12"/>
      <c r="N289" s="12"/>
      <c r="O289" s="12"/>
    </row>
    <row r="290" spans="3:15" ht="12.75">
      <c r="C290" s="12"/>
      <c r="D290" s="12"/>
      <c r="E290" s="12"/>
      <c r="F290" s="12"/>
      <c r="G290" s="12"/>
      <c r="H290" s="12"/>
      <c r="I290" s="12"/>
      <c r="J290" s="12"/>
      <c r="K290" s="12"/>
      <c r="L290" s="12"/>
      <c r="M290" s="12"/>
      <c r="N290" s="12"/>
      <c r="O290" s="12"/>
    </row>
    <row r="291" spans="3:15" ht="12.75">
      <c r="C291" s="12"/>
      <c r="D291" s="12"/>
      <c r="E291" s="12"/>
      <c r="F291" s="12"/>
      <c r="G291" s="12"/>
      <c r="H291" s="12"/>
      <c r="I291" s="12"/>
      <c r="J291" s="12"/>
      <c r="K291" s="12"/>
      <c r="L291" s="12"/>
      <c r="M291" s="12"/>
      <c r="N291" s="12"/>
      <c r="O291" s="12"/>
    </row>
    <row r="292" spans="3:15" ht="12.75">
      <c r="C292" s="12"/>
      <c r="D292" s="12"/>
      <c r="E292" s="12"/>
      <c r="F292" s="12"/>
      <c r="G292" s="12"/>
      <c r="H292" s="12"/>
      <c r="I292" s="12"/>
      <c r="J292" s="12"/>
      <c r="K292" s="12"/>
      <c r="L292" s="12"/>
      <c r="M292" s="12"/>
      <c r="N292" s="12"/>
      <c r="O292" s="12"/>
    </row>
    <row r="293" spans="3:15" ht="12.75">
      <c r="C293" s="12"/>
      <c r="D293" s="12"/>
      <c r="E293" s="12"/>
      <c r="F293" s="12"/>
      <c r="G293" s="12"/>
      <c r="H293" s="12"/>
      <c r="I293" s="12"/>
      <c r="J293" s="12"/>
      <c r="K293" s="12"/>
      <c r="L293" s="12"/>
      <c r="M293" s="12"/>
      <c r="N293" s="12"/>
      <c r="O293" s="12"/>
    </row>
    <row r="294" spans="3:15" ht="12.75">
      <c r="C294" s="12"/>
      <c r="D294" s="12"/>
      <c r="E294" s="12"/>
      <c r="F294" s="12"/>
      <c r="G294" s="12"/>
      <c r="H294" s="12"/>
      <c r="I294" s="12"/>
      <c r="J294" s="12"/>
      <c r="K294" s="12"/>
      <c r="L294" s="12"/>
      <c r="M294" s="12"/>
      <c r="N294" s="12"/>
      <c r="O294" s="12"/>
    </row>
    <row r="295" spans="3:15" ht="12.75">
      <c r="C295" s="12"/>
      <c r="D295" s="12"/>
      <c r="E295" s="12"/>
      <c r="F295" s="12"/>
      <c r="G295" s="12"/>
      <c r="H295" s="12"/>
      <c r="I295" s="12"/>
      <c r="J295" s="12"/>
      <c r="K295" s="12"/>
      <c r="L295" s="12"/>
      <c r="M295" s="12"/>
      <c r="N295" s="12"/>
      <c r="O295" s="12"/>
    </row>
    <row r="296" spans="3:15" ht="12.75">
      <c r="C296" s="12"/>
      <c r="D296" s="12"/>
      <c r="E296" s="12"/>
      <c r="F296" s="12"/>
      <c r="G296" s="12"/>
      <c r="H296" s="12"/>
      <c r="I296" s="12"/>
      <c r="J296" s="12"/>
      <c r="K296" s="12"/>
      <c r="L296" s="12"/>
      <c r="M296" s="12"/>
      <c r="N296" s="12"/>
      <c r="O296" s="12"/>
    </row>
    <row r="297" spans="3:15" ht="12.75">
      <c r="C297" s="12"/>
      <c r="D297" s="12"/>
      <c r="E297" s="12"/>
      <c r="F297" s="12"/>
      <c r="G297" s="12"/>
      <c r="H297" s="12"/>
      <c r="I297" s="12"/>
      <c r="J297" s="12"/>
      <c r="K297" s="12"/>
      <c r="L297" s="12"/>
      <c r="M297" s="12"/>
      <c r="N297" s="12"/>
      <c r="O297" s="12"/>
    </row>
    <row r="298" spans="3:15" ht="12.75">
      <c r="C298" s="12"/>
      <c r="D298" s="12"/>
      <c r="E298" s="12"/>
      <c r="F298" s="12"/>
      <c r="G298" s="12"/>
      <c r="H298" s="12"/>
      <c r="I298" s="12"/>
      <c r="J298" s="12"/>
      <c r="K298" s="12"/>
      <c r="L298" s="12"/>
      <c r="M298" s="12"/>
      <c r="N298" s="12"/>
      <c r="O298" s="12"/>
    </row>
    <row r="299" spans="3:15" ht="12.75">
      <c r="C299" s="12"/>
      <c r="D299" s="12"/>
      <c r="E299" s="12"/>
      <c r="F299" s="12"/>
      <c r="G299" s="12"/>
      <c r="H299" s="12"/>
      <c r="I299" s="12"/>
      <c r="J299" s="12"/>
      <c r="K299" s="12"/>
      <c r="L299" s="12"/>
      <c r="M299" s="12"/>
      <c r="N299" s="12"/>
      <c r="O299" s="12"/>
    </row>
    <row r="300" spans="3:15" ht="12.75">
      <c r="C300" s="12"/>
      <c r="D300" s="12"/>
      <c r="E300" s="12"/>
      <c r="F300" s="12"/>
      <c r="G300" s="12"/>
      <c r="H300" s="12"/>
      <c r="I300" s="12"/>
      <c r="J300" s="12"/>
      <c r="K300" s="12"/>
      <c r="L300" s="12"/>
      <c r="M300" s="12"/>
      <c r="N300" s="12"/>
      <c r="O300" s="12"/>
    </row>
    <row r="301" spans="3:15" ht="12.75">
      <c r="C301" s="12"/>
      <c r="D301" s="12"/>
      <c r="E301" s="12"/>
      <c r="F301" s="12"/>
      <c r="G301" s="12"/>
      <c r="H301" s="12"/>
      <c r="I301" s="12"/>
      <c r="J301" s="12"/>
      <c r="K301" s="12"/>
      <c r="L301" s="12"/>
      <c r="M301" s="12"/>
      <c r="N301" s="12"/>
      <c r="O301" s="12"/>
    </row>
    <row r="302" spans="3:15" ht="12.75">
      <c r="C302" s="12"/>
      <c r="D302" s="12"/>
      <c r="E302" s="12"/>
      <c r="F302" s="12"/>
      <c r="G302" s="12"/>
      <c r="H302" s="12"/>
      <c r="I302" s="12"/>
      <c r="J302" s="12"/>
      <c r="K302" s="12"/>
      <c r="L302" s="12"/>
      <c r="M302" s="12"/>
      <c r="N302" s="12"/>
      <c r="O302" s="12"/>
    </row>
    <row r="303" spans="3:15" ht="12.75">
      <c r="C303" s="12"/>
      <c r="D303" s="12"/>
      <c r="E303" s="12"/>
      <c r="F303" s="12"/>
      <c r="G303" s="12"/>
      <c r="H303" s="12"/>
      <c r="I303" s="12"/>
      <c r="J303" s="12"/>
      <c r="K303" s="12"/>
      <c r="L303" s="12"/>
      <c r="M303" s="12"/>
      <c r="N303" s="12"/>
      <c r="O303" s="12"/>
    </row>
    <row r="304" spans="3:15" ht="12.75">
      <c r="C304" s="12"/>
      <c r="D304" s="12"/>
      <c r="E304" s="12"/>
      <c r="F304" s="12"/>
      <c r="G304" s="12"/>
      <c r="H304" s="12"/>
      <c r="I304" s="12"/>
      <c r="J304" s="12"/>
      <c r="K304" s="12"/>
      <c r="L304" s="12"/>
      <c r="M304" s="12"/>
      <c r="N304" s="12"/>
      <c r="O304" s="12"/>
    </row>
    <row r="305" spans="3:15" ht="12.75">
      <c r="C305" s="12"/>
      <c r="D305" s="12"/>
      <c r="E305" s="12"/>
      <c r="F305" s="12"/>
      <c r="G305" s="12"/>
      <c r="H305" s="12"/>
      <c r="I305" s="12"/>
      <c r="J305" s="12"/>
      <c r="K305" s="12"/>
      <c r="L305" s="12"/>
      <c r="M305" s="12"/>
      <c r="N305" s="12"/>
      <c r="O305" s="12"/>
    </row>
    <row r="306" spans="3:15" ht="12.75">
      <c r="C306" s="12"/>
      <c r="D306" s="12"/>
      <c r="E306" s="12"/>
      <c r="F306" s="12"/>
      <c r="G306" s="12"/>
      <c r="H306" s="12"/>
      <c r="I306" s="12"/>
      <c r="J306" s="12"/>
      <c r="K306" s="12"/>
      <c r="L306" s="12"/>
      <c r="M306" s="12"/>
      <c r="N306" s="12"/>
      <c r="O306" s="12"/>
    </row>
    <row r="307" spans="3:15" ht="12.75">
      <c r="C307" s="12"/>
      <c r="D307" s="12"/>
      <c r="E307" s="12"/>
      <c r="F307" s="12"/>
      <c r="G307" s="12"/>
      <c r="H307" s="12"/>
      <c r="I307" s="12"/>
      <c r="J307" s="12"/>
      <c r="K307" s="12"/>
      <c r="L307" s="12"/>
      <c r="M307" s="12"/>
      <c r="N307" s="12"/>
      <c r="O307" s="12"/>
    </row>
    <row r="308" spans="3:15" ht="12.75">
      <c r="C308" s="12"/>
      <c r="D308" s="12"/>
      <c r="E308" s="12"/>
      <c r="F308" s="12"/>
      <c r="G308" s="12"/>
      <c r="H308" s="12"/>
      <c r="I308" s="12"/>
      <c r="J308" s="12"/>
      <c r="K308" s="12"/>
      <c r="L308" s="12"/>
      <c r="M308" s="12"/>
      <c r="N308" s="12"/>
      <c r="O308" s="12"/>
    </row>
    <row r="309" spans="3:15" ht="12.75">
      <c r="C309" s="12"/>
      <c r="D309" s="12"/>
      <c r="E309" s="12"/>
      <c r="F309" s="12"/>
      <c r="G309" s="12"/>
      <c r="H309" s="12"/>
      <c r="I309" s="12"/>
      <c r="J309" s="12"/>
      <c r="K309" s="12"/>
      <c r="L309" s="12"/>
      <c r="M309" s="12"/>
      <c r="N309" s="12"/>
      <c r="O309" s="12"/>
    </row>
    <row r="310" spans="3:15" ht="12.75">
      <c r="C310" s="12"/>
      <c r="D310" s="12"/>
      <c r="E310" s="12"/>
      <c r="F310" s="12"/>
      <c r="G310" s="12"/>
      <c r="H310" s="12"/>
      <c r="I310" s="12"/>
      <c r="J310" s="12"/>
      <c r="K310" s="12"/>
      <c r="L310" s="12"/>
      <c r="M310" s="12"/>
      <c r="N310" s="12"/>
      <c r="O310" s="12"/>
    </row>
    <row r="311" spans="3:15" ht="12.75">
      <c r="C311" s="12"/>
      <c r="D311" s="12"/>
      <c r="E311" s="12"/>
      <c r="F311" s="12"/>
      <c r="G311" s="12"/>
      <c r="H311" s="12"/>
      <c r="I311" s="12"/>
      <c r="J311" s="12"/>
      <c r="K311" s="12"/>
      <c r="L311" s="12"/>
      <c r="M311" s="12"/>
      <c r="N311" s="12"/>
      <c r="O311" s="12"/>
    </row>
    <row r="312" spans="3:15" ht="12.75">
      <c r="C312" s="12"/>
      <c r="D312" s="12"/>
      <c r="E312" s="12"/>
      <c r="F312" s="12"/>
      <c r="G312" s="12"/>
      <c r="H312" s="12"/>
      <c r="I312" s="12"/>
      <c r="J312" s="12"/>
      <c r="K312" s="12"/>
      <c r="L312" s="12"/>
      <c r="M312" s="12"/>
      <c r="N312" s="12"/>
      <c r="O312" s="12"/>
    </row>
    <row r="313" spans="3:15" ht="12.75">
      <c r="C313" s="12"/>
      <c r="D313" s="12"/>
      <c r="E313" s="12"/>
      <c r="F313" s="12"/>
      <c r="G313" s="12"/>
      <c r="H313" s="12"/>
      <c r="I313" s="12"/>
      <c r="J313" s="12"/>
      <c r="K313" s="12"/>
      <c r="L313" s="12"/>
      <c r="M313" s="12"/>
      <c r="N313" s="12"/>
      <c r="O313" s="12"/>
    </row>
    <row r="314" spans="3:15" ht="12.75">
      <c r="C314" s="12"/>
      <c r="D314" s="12"/>
      <c r="E314" s="12"/>
      <c r="F314" s="12"/>
      <c r="G314" s="12"/>
      <c r="H314" s="12"/>
      <c r="I314" s="12"/>
      <c r="J314" s="12"/>
      <c r="K314" s="12"/>
      <c r="L314" s="12"/>
      <c r="M314" s="12"/>
      <c r="N314" s="12"/>
      <c r="O314" s="12"/>
    </row>
    <row r="315" spans="3:15" ht="12.75">
      <c r="C315" s="12"/>
      <c r="D315" s="12"/>
      <c r="E315" s="12"/>
      <c r="F315" s="12"/>
      <c r="G315" s="12"/>
      <c r="H315" s="12"/>
      <c r="I315" s="12"/>
      <c r="J315" s="12"/>
      <c r="K315" s="12"/>
      <c r="L315" s="12"/>
      <c r="M315" s="12"/>
      <c r="N315" s="12"/>
      <c r="O315" s="12"/>
    </row>
  </sheetData>
  <sheetProtection password="C8AE" sheet="1" objects="1" scenarios="1" selectLockedCells="1" selectUnlockedCells="1"/>
  <mergeCells count="6">
    <mergeCell ref="K2:L2"/>
    <mergeCell ref="D21:K21"/>
    <mergeCell ref="D15:K16"/>
    <mergeCell ref="D13:K14"/>
    <mergeCell ref="D17:K18"/>
    <mergeCell ref="D19:K19"/>
  </mergeCells>
  <printOptions horizontalCentered="1" verticalCentered="1"/>
  <pageMargins left="0" right="0" top="0" bottom="0" header="0" footer="0"/>
  <pageSetup horizontalDpi="600" verticalDpi="600" orientation="portrait" paperSize="9" scale="110" r:id="rId3"/>
  <drawing r:id="rId2"/>
  <legacyDrawing r:id="rId1"/>
</worksheet>
</file>

<file path=xl/worksheets/sheet2.xml><?xml version="1.0" encoding="utf-8"?>
<worksheet xmlns="http://schemas.openxmlformats.org/spreadsheetml/2006/main" xmlns:r="http://schemas.openxmlformats.org/officeDocument/2006/relationships">
  <sheetPr codeName="Taul4"/>
  <dimension ref="A2:AM315"/>
  <sheetViews>
    <sheetView showGridLines="0" showRowColHeaders="0" zoomScalePageLayoutView="0" workbookViewId="0" topLeftCell="A1">
      <selection activeCell="A1" sqref="A1"/>
    </sheetView>
  </sheetViews>
  <sheetFormatPr defaultColWidth="9.140625" defaultRowHeight="12.75"/>
  <cols>
    <col min="1" max="3" width="3.140625" style="9" customWidth="1"/>
    <col min="4" max="11" width="9.421875" style="9" customWidth="1"/>
    <col min="12" max="16" width="3.140625" style="9" customWidth="1"/>
    <col min="17" max="24" width="9.421875" style="9" customWidth="1"/>
    <col min="25" max="29" width="3.140625" style="9" customWidth="1"/>
    <col min="30" max="37" width="9.421875" style="9" customWidth="1"/>
    <col min="38" max="39" width="3.140625" style="9" customWidth="1"/>
    <col min="40" max="16384" width="9.140625" style="9" customWidth="1"/>
  </cols>
  <sheetData>
    <row r="2" spans="2:39" ht="12.75">
      <c r="B2" s="110"/>
      <c r="C2" s="111"/>
      <c r="D2" s="111"/>
      <c r="E2" s="111"/>
      <c r="F2" s="111"/>
      <c r="G2" s="111"/>
      <c r="H2" s="111"/>
      <c r="I2" s="111"/>
      <c r="J2" s="111"/>
      <c r="K2" s="782" t="str">
        <f>Aloitus!D19</f>
        <v>Versio 1.4</v>
      </c>
      <c r="L2" s="783"/>
      <c r="M2" s="112"/>
      <c r="O2" s="110"/>
      <c r="P2" s="111"/>
      <c r="Q2" s="111"/>
      <c r="R2" s="111"/>
      <c r="S2" s="111"/>
      <c r="T2" s="111"/>
      <c r="U2" s="111"/>
      <c r="V2" s="111"/>
      <c r="W2" s="111"/>
      <c r="X2" s="782" t="str">
        <f>Aloitus!D19</f>
        <v>Versio 1.4</v>
      </c>
      <c r="Y2" s="783"/>
      <c r="Z2" s="112"/>
      <c r="AB2" s="110"/>
      <c r="AC2" s="111"/>
      <c r="AD2" s="111"/>
      <c r="AE2" s="111"/>
      <c r="AF2" s="111"/>
      <c r="AG2" s="111"/>
      <c r="AH2" s="111"/>
      <c r="AI2" s="111"/>
      <c r="AJ2" s="111"/>
      <c r="AK2" s="782" t="str">
        <f>Aloitus!D19</f>
        <v>Versio 1.4</v>
      </c>
      <c r="AL2" s="783"/>
      <c r="AM2" s="112"/>
    </row>
    <row r="3" spans="2:39" ht="7.5" customHeight="1">
      <c r="B3" s="113"/>
      <c r="C3" s="114"/>
      <c r="D3" s="115"/>
      <c r="E3" s="115"/>
      <c r="F3" s="115"/>
      <c r="G3" s="115"/>
      <c r="H3" s="116"/>
      <c r="I3" s="115"/>
      <c r="J3" s="116"/>
      <c r="K3" s="116"/>
      <c r="L3" s="159"/>
      <c r="M3" s="118"/>
      <c r="O3" s="113"/>
      <c r="P3" s="114"/>
      <c r="Q3" s="115"/>
      <c r="R3" s="115"/>
      <c r="S3" s="115"/>
      <c r="T3" s="115"/>
      <c r="U3" s="116"/>
      <c r="V3" s="115"/>
      <c r="W3" s="116"/>
      <c r="X3" s="116"/>
      <c r="Y3" s="159"/>
      <c r="Z3" s="118"/>
      <c r="AB3" s="113"/>
      <c r="AC3" s="114"/>
      <c r="AD3" s="115"/>
      <c r="AE3" s="115"/>
      <c r="AF3" s="115"/>
      <c r="AG3" s="115"/>
      <c r="AH3" s="116"/>
      <c r="AI3" s="115"/>
      <c r="AJ3" s="116"/>
      <c r="AK3" s="116"/>
      <c r="AL3" s="159"/>
      <c r="AM3" s="118"/>
    </row>
    <row r="4" spans="2:39" ht="12" customHeight="1">
      <c r="B4" s="113"/>
      <c r="C4" s="124"/>
      <c r="D4" s="120"/>
      <c r="E4" s="120"/>
      <c r="F4" s="120"/>
      <c r="G4" s="120"/>
      <c r="H4" s="121"/>
      <c r="I4" s="121"/>
      <c r="J4" s="121"/>
      <c r="K4" s="120"/>
      <c r="L4" s="45"/>
      <c r="M4" s="123"/>
      <c r="O4" s="113"/>
      <c r="P4" s="124"/>
      <c r="Q4" s="120"/>
      <c r="R4" s="120"/>
      <c r="S4" s="120"/>
      <c r="T4" s="120"/>
      <c r="U4" s="121"/>
      <c r="V4" s="121"/>
      <c r="W4" s="121"/>
      <c r="X4" s="120"/>
      <c r="Y4" s="45"/>
      <c r="Z4" s="123"/>
      <c r="AB4" s="113"/>
      <c r="AC4" s="124"/>
      <c r="AD4" s="120"/>
      <c r="AE4" s="120"/>
      <c r="AF4" s="120"/>
      <c r="AG4" s="120"/>
      <c r="AH4" s="121"/>
      <c r="AI4" s="121"/>
      <c r="AJ4" s="121"/>
      <c r="AK4" s="120"/>
      <c r="AL4" s="45"/>
      <c r="AM4" s="123"/>
    </row>
    <row r="5" spans="2:39" ht="7.5" customHeight="1">
      <c r="B5" s="113"/>
      <c r="C5" s="124"/>
      <c r="D5" s="120"/>
      <c r="E5" s="120"/>
      <c r="F5" s="120"/>
      <c r="G5" s="120"/>
      <c r="H5" s="125"/>
      <c r="I5" s="125"/>
      <c r="J5" s="120"/>
      <c r="K5" s="120"/>
      <c r="L5" s="45"/>
      <c r="M5" s="123"/>
      <c r="O5" s="113"/>
      <c r="P5" s="124"/>
      <c r="Q5" s="120"/>
      <c r="R5" s="120"/>
      <c r="S5" s="120"/>
      <c r="T5" s="120"/>
      <c r="U5" s="125"/>
      <c r="V5" s="125"/>
      <c r="W5" s="120"/>
      <c r="X5" s="120"/>
      <c r="Y5" s="45"/>
      <c r="Z5" s="123"/>
      <c r="AB5" s="113"/>
      <c r="AC5" s="124"/>
      <c r="AD5" s="120"/>
      <c r="AE5" s="120"/>
      <c r="AF5" s="120"/>
      <c r="AG5" s="120"/>
      <c r="AH5" s="125"/>
      <c r="AI5" s="125"/>
      <c r="AJ5" s="120"/>
      <c r="AK5" s="120"/>
      <c r="AL5" s="45"/>
      <c r="AM5" s="123"/>
    </row>
    <row r="6" spans="2:39" ht="12" customHeight="1">
      <c r="B6" s="113"/>
      <c r="C6" s="51"/>
      <c r="D6" s="793" t="s">
        <v>117</v>
      </c>
      <c r="E6" s="794"/>
      <c r="F6" s="794"/>
      <c r="G6" s="794"/>
      <c r="H6" s="794"/>
      <c r="I6" s="794"/>
      <c r="J6" s="794"/>
      <c r="K6" s="794"/>
      <c r="L6" s="45"/>
      <c r="M6" s="123"/>
      <c r="O6" s="113"/>
      <c r="P6" s="51"/>
      <c r="Q6" s="793" t="s">
        <v>117</v>
      </c>
      <c r="R6" s="794"/>
      <c r="S6" s="794"/>
      <c r="T6" s="794"/>
      <c r="U6" s="794"/>
      <c r="V6" s="794"/>
      <c r="W6" s="794"/>
      <c r="X6" s="794"/>
      <c r="Y6" s="45"/>
      <c r="Z6" s="123"/>
      <c r="AB6" s="113"/>
      <c r="AC6" s="51"/>
      <c r="AD6" s="793" t="s">
        <v>117</v>
      </c>
      <c r="AE6" s="794"/>
      <c r="AF6" s="794"/>
      <c r="AG6" s="794"/>
      <c r="AH6" s="794"/>
      <c r="AI6" s="794"/>
      <c r="AJ6" s="794"/>
      <c r="AK6" s="794"/>
      <c r="AL6" s="45"/>
      <c r="AM6" s="123"/>
    </row>
    <row r="7" spans="2:39" ht="7.5" customHeight="1">
      <c r="B7" s="113"/>
      <c r="C7" s="52"/>
      <c r="D7" s="794"/>
      <c r="E7" s="794"/>
      <c r="F7" s="794"/>
      <c r="G7" s="794"/>
      <c r="H7" s="794"/>
      <c r="I7" s="794"/>
      <c r="J7" s="794"/>
      <c r="K7" s="794"/>
      <c r="L7" s="45"/>
      <c r="M7" s="129"/>
      <c r="O7" s="113"/>
      <c r="P7" s="52"/>
      <c r="Q7" s="794"/>
      <c r="R7" s="794"/>
      <c r="S7" s="794"/>
      <c r="T7" s="794"/>
      <c r="U7" s="794"/>
      <c r="V7" s="794"/>
      <c r="W7" s="794"/>
      <c r="X7" s="794"/>
      <c r="Y7" s="45"/>
      <c r="Z7" s="129"/>
      <c r="AB7" s="113"/>
      <c r="AC7" s="52"/>
      <c r="AD7" s="794"/>
      <c r="AE7" s="794"/>
      <c r="AF7" s="794"/>
      <c r="AG7" s="794"/>
      <c r="AH7" s="794"/>
      <c r="AI7" s="794"/>
      <c r="AJ7" s="794"/>
      <c r="AK7" s="794"/>
      <c r="AL7" s="45"/>
      <c r="AM7" s="129"/>
    </row>
    <row r="8" spans="2:39" ht="7.5" customHeight="1">
      <c r="B8" s="113"/>
      <c r="C8" s="51"/>
      <c r="D8" s="53"/>
      <c r="E8" s="53"/>
      <c r="F8" s="53"/>
      <c r="G8" s="53"/>
      <c r="H8" s="54"/>
      <c r="I8" s="53"/>
      <c r="J8" s="53"/>
      <c r="K8" s="53"/>
      <c r="L8" s="45"/>
      <c r="M8" s="131"/>
      <c r="O8" s="113"/>
      <c r="P8" s="51"/>
      <c r="Q8" s="53"/>
      <c r="R8" s="53"/>
      <c r="S8" s="53"/>
      <c r="T8" s="53"/>
      <c r="U8" s="54"/>
      <c r="V8" s="53"/>
      <c r="W8" s="53"/>
      <c r="X8" s="53"/>
      <c r="Y8" s="45"/>
      <c r="Z8" s="131"/>
      <c r="AB8" s="113"/>
      <c r="AC8" s="51"/>
      <c r="AD8" s="53"/>
      <c r="AE8" s="53"/>
      <c r="AF8" s="53"/>
      <c r="AG8" s="53"/>
      <c r="AH8" s="54"/>
      <c r="AI8" s="53"/>
      <c r="AJ8" s="53"/>
      <c r="AK8" s="53"/>
      <c r="AL8" s="45"/>
      <c r="AM8" s="131"/>
    </row>
    <row r="9" spans="2:39" ht="13.5" customHeight="1">
      <c r="B9" s="113"/>
      <c r="C9" s="51"/>
      <c r="D9" s="55"/>
      <c r="E9" s="56"/>
      <c r="F9" s="56"/>
      <c r="G9" s="53"/>
      <c r="H9" s="53"/>
      <c r="I9" s="53"/>
      <c r="J9" s="53"/>
      <c r="K9" s="53"/>
      <c r="L9" s="45"/>
      <c r="M9" s="131"/>
      <c r="O9" s="113"/>
      <c r="P9" s="51"/>
      <c r="Q9" s="532"/>
      <c r="R9" s="56"/>
      <c r="S9" s="56"/>
      <c r="T9" s="53"/>
      <c r="U9" s="53"/>
      <c r="V9" s="53"/>
      <c r="W9" s="53"/>
      <c r="X9" s="53"/>
      <c r="Y9" s="45"/>
      <c r="Z9" s="131"/>
      <c r="AB9" s="113"/>
      <c r="AC9" s="51"/>
      <c r="AD9" s="532"/>
      <c r="AE9" s="56"/>
      <c r="AF9" s="56"/>
      <c r="AG9" s="53"/>
      <c r="AH9" s="53"/>
      <c r="AI9" s="53"/>
      <c r="AJ9" s="53"/>
      <c r="AK9" s="53"/>
      <c r="AL9" s="45"/>
      <c r="AM9" s="131"/>
    </row>
    <row r="10" spans="2:39" ht="9.75" customHeight="1">
      <c r="B10" s="113"/>
      <c r="C10" s="51"/>
      <c r="D10" s="55"/>
      <c r="E10" s="55"/>
      <c r="F10" s="55"/>
      <c r="G10" s="55"/>
      <c r="H10" s="55"/>
      <c r="I10" s="55"/>
      <c r="J10" s="55"/>
      <c r="K10" s="55"/>
      <c r="L10" s="45"/>
      <c r="M10" s="131"/>
      <c r="O10" s="113"/>
      <c r="P10" s="51"/>
      <c r="Q10" s="532"/>
      <c r="R10" s="532"/>
      <c r="S10" s="532"/>
      <c r="T10" s="532"/>
      <c r="U10" s="532"/>
      <c r="V10" s="532"/>
      <c r="W10" s="532"/>
      <c r="X10" s="532"/>
      <c r="Y10" s="45"/>
      <c r="Z10" s="131"/>
      <c r="AB10" s="113"/>
      <c r="AC10" s="51"/>
      <c r="AD10" s="532"/>
      <c r="AE10" s="532"/>
      <c r="AF10" s="532"/>
      <c r="AG10" s="532"/>
      <c r="AH10" s="532"/>
      <c r="AI10" s="532"/>
      <c r="AJ10" s="532"/>
      <c r="AK10" s="532"/>
      <c r="AL10" s="45"/>
      <c r="AM10" s="131"/>
    </row>
    <row r="11" spans="2:39" ht="12.75" customHeight="1">
      <c r="B11" s="113"/>
      <c r="C11" s="51"/>
      <c r="D11" s="55"/>
      <c r="E11" s="56"/>
      <c r="F11" s="56"/>
      <c r="G11" s="53"/>
      <c r="H11" s="53"/>
      <c r="I11" s="53"/>
      <c r="J11" s="53"/>
      <c r="K11" s="53"/>
      <c r="L11" s="45"/>
      <c r="M11" s="129"/>
      <c r="O11" s="113"/>
      <c r="P11" s="51"/>
      <c r="Q11" s="532"/>
      <c r="R11" s="56"/>
      <c r="S11" s="56"/>
      <c r="T11" s="53"/>
      <c r="U11" s="53"/>
      <c r="V11" s="53"/>
      <c r="W11" s="53"/>
      <c r="X11" s="53"/>
      <c r="Y11" s="45"/>
      <c r="Z11" s="129"/>
      <c r="AB11" s="113"/>
      <c r="AC11" s="51"/>
      <c r="AD11" s="532"/>
      <c r="AE11" s="56"/>
      <c r="AF11" s="56"/>
      <c r="AG11" s="53"/>
      <c r="AH11" s="53"/>
      <c r="AI11" s="53"/>
      <c r="AJ11" s="53"/>
      <c r="AK11" s="53"/>
      <c r="AL11" s="45"/>
      <c r="AM11" s="129"/>
    </row>
    <row r="12" spans="2:39" ht="12.75" customHeight="1">
      <c r="B12" s="113"/>
      <c r="C12" s="51"/>
      <c r="D12" s="55"/>
      <c r="E12" s="56"/>
      <c r="F12" s="56"/>
      <c r="G12" s="56"/>
      <c r="H12" s="56"/>
      <c r="I12" s="56"/>
      <c r="J12" s="56"/>
      <c r="K12" s="56"/>
      <c r="L12" s="45"/>
      <c r="M12" s="129"/>
      <c r="O12" s="113"/>
      <c r="P12" s="51"/>
      <c r="Q12" s="532"/>
      <c r="R12" s="56"/>
      <c r="S12" s="56"/>
      <c r="T12" s="56"/>
      <c r="U12" s="56"/>
      <c r="V12" s="56"/>
      <c r="W12" s="56"/>
      <c r="X12" s="56"/>
      <c r="Y12" s="45"/>
      <c r="Z12" s="129"/>
      <c r="AB12" s="113"/>
      <c r="AC12" s="51"/>
      <c r="AD12" s="532"/>
      <c r="AE12" s="56"/>
      <c r="AF12" s="56"/>
      <c r="AG12" s="56"/>
      <c r="AH12" s="56"/>
      <c r="AI12" s="56"/>
      <c r="AJ12" s="56"/>
      <c r="AK12" s="56"/>
      <c r="AL12" s="45"/>
      <c r="AM12" s="129"/>
    </row>
    <row r="13" spans="2:39" ht="12.75" customHeight="1">
      <c r="B13" s="113"/>
      <c r="C13" s="57"/>
      <c r="D13" s="55"/>
      <c r="E13" s="56"/>
      <c r="F13" s="56"/>
      <c r="G13" s="56"/>
      <c r="H13" s="56"/>
      <c r="I13" s="56"/>
      <c r="J13" s="56"/>
      <c r="K13" s="56"/>
      <c r="L13" s="58"/>
      <c r="M13" s="129"/>
      <c r="O13" s="113"/>
      <c r="P13" s="57"/>
      <c r="Q13" s="532"/>
      <c r="R13" s="56"/>
      <c r="S13" s="56"/>
      <c r="T13" s="56"/>
      <c r="U13" s="56"/>
      <c r="V13" s="56"/>
      <c r="W13" s="56"/>
      <c r="X13" s="56"/>
      <c r="Y13" s="58"/>
      <c r="Z13" s="129"/>
      <c r="AB13" s="113"/>
      <c r="AC13" s="57"/>
      <c r="AD13" s="532"/>
      <c r="AE13" s="56"/>
      <c r="AF13" s="56"/>
      <c r="AG13" s="56"/>
      <c r="AH13" s="56"/>
      <c r="AI13" s="56"/>
      <c r="AJ13" s="56"/>
      <c r="AK13" s="56"/>
      <c r="AL13" s="58"/>
      <c r="AM13" s="129"/>
    </row>
    <row r="14" spans="2:39" ht="12.75" customHeight="1">
      <c r="B14" s="113"/>
      <c r="C14" s="57"/>
      <c r="D14" s="55"/>
      <c r="E14" s="55"/>
      <c r="F14" s="55"/>
      <c r="G14" s="55"/>
      <c r="H14" s="55"/>
      <c r="I14" s="55"/>
      <c r="J14" s="55"/>
      <c r="K14" s="56"/>
      <c r="L14" s="58"/>
      <c r="M14" s="129"/>
      <c r="O14" s="113"/>
      <c r="P14" s="57"/>
      <c r="Q14" s="532"/>
      <c r="R14" s="532"/>
      <c r="S14" s="532"/>
      <c r="T14" s="532"/>
      <c r="U14" s="532"/>
      <c r="V14" s="532"/>
      <c r="W14" s="532"/>
      <c r="X14" s="56"/>
      <c r="Y14" s="58"/>
      <c r="Z14" s="129"/>
      <c r="AB14" s="113"/>
      <c r="AC14" s="57"/>
      <c r="AD14" s="532"/>
      <c r="AE14" s="532"/>
      <c r="AF14" s="532"/>
      <c r="AG14" s="532"/>
      <c r="AH14" s="532"/>
      <c r="AI14" s="532"/>
      <c r="AJ14" s="532"/>
      <c r="AK14" s="56"/>
      <c r="AL14" s="58"/>
      <c r="AM14" s="129"/>
    </row>
    <row r="15" spans="2:39" ht="12.75" customHeight="1">
      <c r="B15" s="113"/>
      <c r="C15" s="57"/>
      <c r="D15" s="55"/>
      <c r="E15" s="55"/>
      <c r="F15" s="55"/>
      <c r="G15" s="55"/>
      <c r="H15" s="55"/>
      <c r="I15" s="55"/>
      <c r="J15" s="55"/>
      <c r="K15" s="56"/>
      <c r="L15" s="58"/>
      <c r="M15" s="129"/>
      <c r="O15" s="113"/>
      <c r="P15" s="57"/>
      <c r="Q15" s="532"/>
      <c r="R15" s="532"/>
      <c r="S15" s="532"/>
      <c r="T15" s="532"/>
      <c r="U15" s="532"/>
      <c r="V15" s="532"/>
      <c r="W15" s="532"/>
      <c r="X15" s="56"/>
      <c r="Y15" s="58"/>
      <c r="Z15" s="129"/>
      <c r="AB15" s="113"/>
      <c r="AC15" s="57"/>
      <c r="AD15" s="532"/>
      <c r="AE15" s="532"/>
      <c r="AF15" s="532"/>
      <c r="AG15" s="532"/>
      <c r="AH15" s="532"/>
      <c r="AI15" s="532"/>
      <c r="AJ15" s="532"/>
      <c r="AK15" s="56"/>
      <c r="AL15" s="58"/>
      <c r="AM15" s="129"/>
    </row>
    <row r="16" spans="2:39" ht="12.75" customHeight="1">
      <c r="B16" s="113"/>
      <c r="C16" s="57"/>
      <c r="D16" s="55"/>
      <c r="E16" s="55"/>
      <c r="F16" s="55"/>
      <c r="G16" s="55"/>
      <c r="H16" s="55"/>
      <c r="I16" s="55"/>
      <c r="J16" s="55"/>
      <c r="K16" s="56"/>
      <c r="L16" s="58"/>
      <c r="M16" s="129"/>
      <c r="O16" s="113"/>
      <c r="P16" s="57"/>
      <c r="Q16" s="532"/>
      <c r="R16" s="532"/>
      <c r="S16" s="532"/>
      <c r="T16" s="532"/>
      <c r="U16" s="532"/>
      <c r="V16" s="532"/>
      <c r="W16" s="532"/>
      <c r="X16" s="56"/>
      <c r="Y16" s="58"/>
      <c r="Z16" s="129"/>
      <c r="AB16" s="113"/>
      <c r="AC16" s="57"/>
      <c r="AD16" s="532"/>
      <c r="AE16" s="532"/>
      <c r="AF16" s="532"/>
      <c r="AG16" s="532"/>
      <c r="AH16" s="532"/>
      <c r="AI16" s="532"/>
      <c r="AJ16" s="532"/>
      <c r="AK16" s="56"/>
      <c r="AL16" s="58"/>
      <c r="AM16" s="129"/>
    </row>
    <row r="17" spans="2:39" ht="12.75" customHeight="1">
      <c r="B17" s="113"/>
      <c r="C17" s="57"/>
      <c r="D17" s="55"/>
      <c r="E17" s="59"/>
      <c r="F17" s="59"/>
      <c r="G17" s="59"/>
      <c r="H17" s="59"/>
      <c r="I17" s="59"/>
      <c r="J17" s="59"/>
      <c r="K17" s="59"/>
      <c r="L17" s="58"/>
      <c r="M17" s="134"/>
      <c r="O17" s="113"/>
      <c r="P17" s="57"/>
      <c r="Q17" s="532"/>
      <c r="R17" s="59"/>
      <c r="S17" s="59"/>
      <c r="T17" s="59"/>
      <c r="U17" s="59"/>
      <c r="V17" s="59"/>
      <c r="W17" s="59"/>
      <c r="X17" s="59"/>
      <c r="Y17" s="58"/>
      <c r="Z17" s="134"/>
      <c r="AB17" s="113"/>
      <c r="AC17" s="57"/>
      <c r="AD17" s="532"/>
      <c r="AE17" s="59"/>
      <c r="AF17" s="59"/>
      <c r="AG17" s="59"/>
      <c r="AH17" s="59"/>
      <c r="AI17" s="59"/>
      <c r="AJ17" s="59"/>
      <c r="AK17" s="59"/>
      <c r="AL17" s="58"/>
      <c r="AM17" s="134"/>
    </row>
    <row r="18" spans="2:39" ht="12.75" customHeight="1">
      <c r="B18" s="113"/>
      <c r="C18" s="57"/>
      <c r="D18" s="55"/>
      <c r="E18" s="56"/>
      <c r="F18" s="56"/>
      <c r="G18" s="56"/>
      <c r="H18" s="56"/>
      <c r="I18" s="56"/>
      <c r="J18" s="56"/>
      <c r="K18" s="55"/>
      <c r="L18" s="58"/>
      <c r="M18" s="134"/>
      <c r="O18" s="113"/>
      <c r="P18" s="57"/>
      <c r="Q18" s="532"/>
      <c r="R18" s="56"/>
      <c r="S18" s="56"/>
      <c r="T18" s="56"/>
      <c r="U18" s="56"/>
      <c r="V18" s="56"/>
      <c r="W18" s="56"/>
      <c r="X18" s="532"/>
      <c r="Y18" s="58"/>
      <c r="Z18" s="134"/>
      <c r="AB18" s="113"/>
      <c r="AC18" s="57"/>
      <c r="AD18" s="532"/>
      <c r="AE18" s="56"/>
      <c r="AF18" s="56"/>
      <c r="AG18" s="56"/>
      <c r="AH18" s="56"/>
      <c r="AI18" s="56"/>
      <c r="AJ18" s="56"/>
      <c r="AK18" s="532"/>
      <c r="AL18" s="58"/>
      <c r="AM18" s="134"/>
    </row>
    <row r="19" spans="2:39" ht="12.75" customHeight="1">
      <c r="B19" s="113"/>
      <c r="C19" s="57"/>
      <c r="D19" s="55"/>
      <c r="E19" s="59"/>
      <c r="F19" s="59"/>
      <c r="G19" s="56"/>
      <c r="H19" s="56"/>
      <c r="I19" s="56"/>
      <c r="J19" s="56"/>
      <c r="K19" s="55"/>
      <c r="L19" s="58"/>
      <c r="M19" s="129"/>
      <c r="O19" s="113"/>
      <c r="P19" s="57"/>
      <c r="Q19" s="532"/>
      <c r="R19" s="59"/>
      <c r="S19" s="59"/>
      <c r="T19" s="56"/>
      <c r="U19" s="56"/>
      <c r="V19" s="56"/>
      <c r="W19" s="56"/>
      <c r="X19" s="532"/>
      <c r="Y19" s="58"/>
      <c r="Z19" s="129"/>
      <c r="AB19" s="113"/>
      <c r="AC19" s="57"/>
      <c r="AD19" s="532"/>
      <c r="AE19" s="59"/>
      <c r="AF19" s="59"/>
      <c r="AG19" s="56"/>
      <c r="AH19" s="56"/>
      <c r="AI19" s="56"/>
      <c r="AJ19" s="56"/>
      <c r="AK19" s="532"/>
      <c r="AL19" s="58"/>
      <c r="AM19" s="129"/>
    </row>
    <row r="20" spans="2:39" ht="12.75" customHeight="1">
      <c r="B20" s="113"/>
      <c r="C20" s="57"/>
      <c r="D20" s="55"/>
      <c r="E20" s="59"/>
      <c r="F20" s="59"/>
      <c r="G20" s="56"/>
      <c r="H20" s="56"/>
      <c r="I20" s="56"/>
      <c r="J20" s="56"/>
      <c r="K20" s="55"/>
      <c r="L20" s="58"/>
      <c r="M20" s="129"/>
      <c r="O20" s="113"/>
      <c r="P20" s="57"/>
      <c r="Q20" s="532"/>
      <c r="R20" s="59"/>
      <c r="S20" s="59"/>
      <c r="T20" s="56"/>
      <c r="U20" s="56"/>
      <c r="V20" s="56"/>
      <c r="W20" s="56"/>
      <c r="X20" s="532"/>
      <c r="Y20" s="58"/>
      <c r="Z20" s="129"/>
      <c r="AB20" s="113"/>
      <c r="AC20" s="57"/>
      <c r="AD20" s="532"/>
      <c r="AE20" s="59"/>
      <c r="AF20" s="59"/>
      <c r="AG20" s="56"/>
      <c r="AH20" s="56"/>
      <c r="AI20" s="56"/>
      <c r="AJ20" s="56"/>
      <c r="AK20" s="532"/>
      <c r="AL20" s="58"/>
      <c r="AM20" s="129"/>
    </row>
    <row r="21" spans="2:39" ht="12.75" customHeight="1">
      <c r="B21" s="113"/>
      <c r="C21" s="57"/>
      <c r="D21" s="55"/>
      <c r="E21" s="55"/>
      <c r="F21" s="55"/>
      <c r="G21" s="55"/>
      <c r="H21" s="55"/>
      <c r="I21" s="55"/>
      <c r="J21" s="55"/>
      <c r="K21" s="55"/>
      <c r="L21" s="58"/>
      <c r="M21" s="129"/>
      <c r="O21" s="113"/>
      <c r="P21" s="57"/>
      <c r="Q21" s="532"/>
      <c r="R21" s="532"/>
      <c r="S21" s="532"/>
      <c r="T21" s="532"/>
      <c r="U21" s="532"/>
      <c r="V21" s="532"/>
      <c r="W21" s="532"/>
      <c r="X21" s="532"/>
      <c r="Y21" s="58"/>
      <c r="Z21" s="129"/>
      <c r="AB21" s="113"/>
      <c r="AC21" s="57"/>
      <c r="AD21" s="532"/>
      <c r="AE21" s="532"/>
      <c r="AF21" s="532"/>
      <c r="AG21" s="532"/>
      <c r="AH21" s="532"/>
      <c r="AI21" s="532"/>
      <c r="AJ21" s="532"/>
      <c r="AK21" s="532"/>
      <c r="AL21" s="58"/>
      <c r="AM21" s="129"/>
    </row>
    <row r="22" spans="2:39" ht="12.75" customHeight="1">
      <c r="B22" s="113"/>
      <c r="C22" s="57"/>
      <c r="D22" s="55"/>
      <c r="E22" s="55"/>
      <c r="F22" s="55"/>
      <c r="G22" s="55"/>
      <c r="H22" s="55"/>
      <c r="I22" s="55"/>
      <c r="J22" s="55"/>
      <c r="K22" s="55"/>
      <c r="L22" s="58"/>
      <c r="M22" s="129"/>
      <c r="O22" s="113"/>
      <c r="P22" s="57"/>
      <c r="Q22" s="532"/>
      <c r="R22" s="532"/>
      <c r="S22" s="532"/>
      <c r="T22" s="532"/>
      <c r="U22" s="532"/>
      <c r="V22" s="532"/>
      <c r="W22" s="532"/>
      <c r="X22" s="532"/>
      <c r="Y22" s="58"/>
      <c r="Z22" s="129"/>
      <c r="AB22" s="113"/>
      <c r="AC22" s="57"/>
      <c r="AD22" s="532"/>
      <c r="AE22" s="532"/>
      <c r="AF22" s="532"/>
      <c r="AG22" s="532"/>
      <c r="AH22" s="532"/>
      <c r="AI22" s="532"/>
      <c r="AJ22" s="532"/>
      <c r="AK22" s="532"/>
      <c r="AL22" s="58"/>
      <c r="AM22" s="129"/>
    </row>
    <row r="23" spans="2:39" ht="12.75" customHeight="1">
      <c r="B23" s="113"/>
      <c r="C23" s="57"/>
      <c r="D23" s="791"/>
      <c r="E23" s="792"/>
      <c r="F23" s="792"/>
      <c r="G23" s="83"/>
      <c r="H23" s="83"/>
      <c r="I23" s="83"/>
      <c r="J23" s="83"/>
      <c r="K23" s="83"/>
      <c r="L23" s="58"/>
      <c r="M23" s="129"/>
      <c r="O23" s="113"/>
      <c r="P23" s="57"/>
      <c r="Q23" s="596"/>
      <c r="R23" s="533"/>
      <c r="S23" s="533"/>
      <c r="T23" s="41"/>
      <c r="U23" s="41"/>
      <c r="V23" s="41"/>
      <c r="W23" s="41"/>
      <c r="X23" s="41"/>
      <c r="Y23" s="58"/>
      <c r="Z23" s="129"/>
      <c r="AB23" s="113"/>
      <c r="AC23" s="57"/>
      <c r="AD23" s="596"/>
      <c r="AE23" s="533"/>
      <c r="AF23" s="533"/>
      <c r="AG23" s="41"/>
      <c r="AH23" s="41"/>
      <c r="AI23" s="41"/>
      <c r="AJ23" s="41"/>
      <c r="AK23" s="41"/>
      <c r="AL23" s="58"/>
      <c r="AM23" s="129"/>
    </row>
    <row r="24" spans="2:39" ht="12.75" customHeight="1">
      <c r="B24" s="113"/>
      <c r="C24" s="57"/>
      <c r="D24" s="792"/>
      <c r="E24" s="792"/>
      <c r="F24" s="792"/>
      <c r="G24" s="83"/>
      <c r="H24" s="83"/>
      <c r="I24" s="83"/>
      <c r="J24" s="83"/>
      <c r="K24" s="83"/>
      <c r="L24" s="58"/>
      <c r="M24" s="129"/>
      <c r="O24" s="113"/>
      <c r="P24" s="57"/>
      <c r="Q24" s="533"/>
      <c r="R24" s="533"/>
      <c r="S24" s="533"/>
      <c r="T24" s="41"/>
      <c r="U24" s="41"/>
      <c r="V24" s="41"/>
      <c r="W24" s="41"/>
      <c r="X24" s="41"/>
      <c r="Y24" s="58"/>
      <c r="Z24" s="129"/>
      <c r="AB24" s="113"/>
      <c r="AC24" s="57"/>
      <c r="AD24" s="533"/>
      <c r="AE24" s="533"/>
      <c r="AF24" s="533"/>
      <c r="AG24" s="41"/>
      <c r="AH24" s="41"/>
      <c r="AI24" s="41"/>
      <c r="AJ24" s="41"/>
      <c r="AK24" s="41"/>
      <c r="AL24" s="58"/>
      <c r="AM24" s="129"/>
    </row>
    <row r="25" spans="2:39" ht="12.75" customHeight="1">
      <c r="B25" s="113"/>
      <c r="C25" s="57"/>
      <c r="D25" s="83"/>
      <c r="E25" s="83"/>
      <c r="F25" s="83"/>
      <c r="G25" s="83"/>
      <c r="H25" s="83"/>
      <c r="I25" s="83"/>
      <c r="J25" s="83"/>
      <c r="K25" s="83"/>
      <c r="L25" s="58"/>
      <c r="M25" s="129"/>
      <c r="O25" s="113"/>
      <c r="P25" s="57"/>
      <c r="Q25" s="41"/>
      <c r="R25" s="41"/>
      <c r="S25" s="41"/>
      <c r="T25" s="41"/>
      <c r="U25" s="41"/>
      <c r="V25" s="41"/>
      <c r="W25" s="41"/>
      <c r="X25" s="41"/>
      <c r="Y25" s="58"/>
      <c r="Z25" s="129"/>
      <c r="AB25" s="113"/>
      <c r="AC25" s="57"/>
      <c r="AD25" s="41"/>
      <c r="AE25" s="41"/>
      <c r="AF25" s="41"/>
      <c r="AG25" s="41"/>
      <c r="AH25" s="41"/>
      <c r="AI25" s="41"/>
      <c r="AJ25" s="41"/>
      <c r="AK25" s="41"/>
      <c r="AL25" s="58"/>
      <c r="AM25" s="129"/>
    </row>
    <row r="26" spans="2:39" ht="12.75" customHeight="1">
      <c r="B26" s="113"/>
      <c r="C26" s="57"/>
      <c r="D26" s="59"/>
      <c r="E26" s="59"/>
      <c r="F26" s="59"/>
      <c r="G26" s="59"/>
      <c r="H26" s="59"/>
      <c r="I26" s="59"/>
      <c r="J26" s="59"/>
      <c r="K26" s="59"/>
      <c r="L26" s="58"/>
      <c r="M26" s="129"/>
      <c r="O26" s="113"/>
      <c r="P26" s="57"/>
      <c r="Q26" s="59"/>
      <c r="R26" s="59"/>
      <c r="S26" s="59"/>
      <c r="T26" s="59"/>
      <c r="U26" s="59"/>
      <c r="V26" s="59"/>
      <c r="W26" s="59"/>
      <c r="X26" s="59"/>
      <c r="Y26" s="58"/>
      <c r="Z26" s="129"/>
      <c r="AB26" s="113"/>
      <c r="AC26" s="57"/>
      <c r="AD26" s="59"/>
      <c r="AE26" s="59"/>
      <c r="AF26" s="59"/>
      <c r="AG26" s="59"/>
      <c r="AH26" s="59"/>
      <c r="AI26" s="59"/>
      <c r="AJ26" s="59"/>
      <c r="AK26" s="59"/>
      <c r="AL26" s="58"/>
      <c r="AM26" s="129"/>
    </row>
    <row r="27" spans="2:39" ht="12.75" customHeight="1">
      <c r="B27" s="113"/>
      <c r="C27" s="57"/>
      <c r="D27" s="59"/>
      <c r="E27" s="59"/>
      <c r="F27" s="59"/>
      <c r="G27" s="59"/>
      <c r="H27" s="59"/>
      <c r="I27" s="59"/>
      <c r="J27" s="59"/>
      <c r="K27" s="59"/>
      <c r="L27" s="58"/>
      <c r="M27" s="129"/>
      <c r="O27" s="113"/>
      <c r="P27" s="57"/>
      <c r="Q27" s="59"/>
      <c r="R27" s="59"/>
      <c r="S27" s="59"/>
      <c r="T27" s="59"/>
      <c r="U27" s="59"/>
      <c r="V27" s="59"/>
      <c r="W27" s="59"/>
      <c r="X27" s="59"/>
      <c r="Y27" s="58"/>
      <c r="Z27" s="129"/>
      <c r="AB27" s="113"/>
      <c r="AC27" s="57"/>
      <c r="AD27" s="59"/>
      <c r="AE27" s="59"/>
      <c r="AF27" s="59"/>
      <c r="AG27" s="59"/>
      <c r="AH27" s="59"/>
      <c r="AI27" s="59"/>
      <c r="AJ27" s="59"/>
      <c r="AK27" s="59"/>
      <c r="AL27" s="58"/>
      <c r="AM27" s="129"/>
    </row>
    <row r="28" spans="2:39" ht="12.75" customHeight="1">
      <c r="B28" s="113"/>
      <c r="C28" s="57"/>
      <c r="D28" s="59"/>
      <c r="E28" s="59"/>
      <c r="F28" s="59"/>
      <c r="G28" s="59"/>
      <c r="H28" s="59"/>
      <c r="I28" s="59"/>
      <c r="J28" s="59"/>
      <c r="K28" s="59"/>
      <c r="L28" s="58"/>
      <c r="M28" s="129"/>
      <c r="O28" s="113"/>
      <c r="P28" s="57"/>
      <c r="Q28" s="59"/>
      <c r="R28" s="59"/>
      <c r="S28" s="59"/>
      <c r="T28" s="59"/>
      <c r="U28" s="59"/>
      <c r="V28" s="59"/>
      <c r="W28" s="59"/>
      <c r="X28" s="59"/>
      <c r="Y28" s="58"/>
      <c r="Z28" s="129"/>
      <c r="AB28" s="113"/>
      <c r="AC28" s="57"/>
      <c r="AD28" s="59"/>
      <c r="AE28" s="59"/>
      <c r="AF28" s="59"/>
      <c r="AG28" s="59"/>
      <c r="AH28" s="59"/>
      <c r="AI28" s="59"/>
      <c r="AJ28" s="59"/>
      <c r="AK28" s="59"/>
      <c r="AL28" s="58"/>
      <c r="AM28" s="129"/>
    </row>
    <row r="29" spans="2:39" ht="12.75" customHeight="1">
      <c r="B29" s="113"/>
      <c r="C29" s="51"/>
      <c r="D29" s="53"/>
      <c r="E29" s="53"/>
      <c r="F29" s="53"/>
      <c r="G29" s="53"/>
      <c r="H29" s="54"/>
      <c r="I29" s="53"/>
      <c r="J29" s="53"/>
      <c r="K29" s="53"/>
      <c r="L29" s="45"/>
      <c r="M29" s="129"/>
      <c r="O29" s="113"/>
      <c r="P29" s="57"/>
      <c r="Q29" s="59"/>
      <c r="R29" s="59"/>
      <c r="S29" s="59"/>
      <c r="T29" s="59"/>
      <c r="U29" s="59"/>
      <c r="V29" s="59"/>
      <c r="W29" s="59"/>
      <c r="X29" s="59"/>
      <c r="Y29" s="58"/>
      <c r="Z29" s="129"/>
      <c r="AB29" s="113"/>
      <c r="AC29" s="57"/>
      <c r="AD29" s="59"/>
      <c r="AE29" s="59"/>
      <c r="AF29" s="59"/>
      <c r="AG29" s="59"/>
      <c r="AH29" s="59"/>
      <c r="AI29" s="59"/>
      <c r="AJ29" s="59"/>
      <c r="AK29" s="59"/>
      <c r="AL29" s="58"/>
      <c r="AM29" s="129"/>
    </row>
    <row r="30" spans="2:39" ht="12.75" customHeight="1">
      <c r="B30" s="113"/>
      <c r="C30" s="51"/>
      <c r="D30" s="532"/>
      <c r="E30" s="56"/>
      <c r="F30" s="56"/>
      <c r="G30" s="53"/>
      <c r="H30" s="53"/>
      <c r="I30" s="53"/>
      <c r="J30" s="53"/>
      <c r="K30" s="53"/>
      <c r="L30" s="45"/>
      <c r="M30" s="129"/>
      <c r="O30" s="113"/>
      <c r="P30" s="57"/>
      <c r="Q30" s="59"/>
      <c r="R30" s="59"/>
      <c r="S30" s="59"/>
      <c r="T30" s="59"/>
      <c r="U30" s="60"/>
      <c r="V30" s="59"/>
      <c r="W30" s="59"/>
      <c r="X30" s="59"/>
      <c r="Y30" s="58"/>
      <c r="Z30" s="129"/>
      <c r="AB30" s="113"/>
      <c r="AC30" s="57"/>
      <c r="AD30" s="59"/>
      <c r="AE30" s="59"/>
      <c r="AF30" s="59"/>
      <c r="AG30" s="59"/>
      <c r="AH30" s="60"/>
      <c r="AI30" s="59"/>
      <c r="AJ30" s="59"/>
      <c r="AK30" s="59"/>
      <c r="AL30" s="58"/>
      <c r="AM30" s="129"/>
    </row>
    <row r="31" spans="2:39" ht="12.75" customHeight="1">
      <c r="B31" s="113"/>
      <c r="C31" s="51"/>
      <c r="D31" s="532"/>
      <c r="E31" s="532"/>
      <c r="F31" s="532"/>
      <c r="G31" s="532"/>
      <c r="H31" s="532"/>
      <c r="I31" s="532"/>
      <c r="J31" s="532"/>
      <c r="K31" s="532"/>
      <c r="L31" s="45"/>
      <c r="M31" s="129"/>
      <c r="O31" s="113"/>
      <c r="P31" s="57"/>
      <c r="Q31" s="59"/>
      <c r="R31" s="59"/>
      <c r="S31" s="59"/>
      <c r="T31" s="59"/>
      <c r="U31" s="59"/>
      <c r="V31" s="59"/>
      <c r="W31" s="59"/>
      <c r="X31" s="59"/>
      <c r="Y31" s="58"/>
      <c r="Z31" s="129"/>
      <c r="AB31" s="113"/>
      <c r="AC31" s="57"/>
      <c r="AD31" s="59"/>
      <c r="AE31" s="59"/>
      <c r="AF31" s="59"/>
      <c r="AG31" s="59"/>
      <c r="AH31" s="59"/>
      <c r="AI31" s="59"/>
      <c r="AJ31" s="59"/>
      <c r="AK31" s="59"/>
      <c r="AL31" s="58"/>
      <c r="AM31" s="129"/>
    </row>
    <row r="32" spans="2:39" ht="12.75" customHeight="1">
      <c r="B32" s="113"/>
      <c r="C32" s="57"/>
      <c r="D32" s="59"/>
      <c r="E32" s="59"/>
      <c r="F32" s="59"/>
      <c r="G32" s="59"/>
      <c r="H32" s="59"/>
      <c r="I32" s="59"/>
      <c r="J32" s="59"/>
      <c r="K32" s="59"/>
      <c r="L32" s="58"/>
      <c r="M32" s="129"/>
      <c r="O32" s="113"/>
      <c r="P32" s="57"/>
      <c r="Q32" s="59"/>
      <c r="R32" s="59"/>
      <c r="S32" s="59"/>
      <c r="T32" s="59"/>
      <c r="U32" s="59"/>
      <c r="V32" s="59"/>
      <c r="W32" s="59"/>
      <c r="X32" s="59"/>
      <c r="Y32" s="58"/>
      <c r="Z32" s="129"/>
      <c r="AB32" s="113"/>
      <c r="AC32" s="57"/>
      <c r="AD32" s="59"/>
      <c r="AE32" s="59"/>
      <c r="AF32" s="59"/>
      <c r="AG32" s="59"/>
      <c r="AH32" s="59"/>
      <c r="AI32" s="59"/>
      <c r="AJ32" s="59"/>
      <c r="AK32" s="59"/>
      <c r="AL32" s="58"/>
      <c r="AM32" s="129"/>
    </row>
    <row r="33" spans="2:39" ht="12.75" customHeight="1">
      <c r="B33" s="113"/>
      <c r="C33" s="57"/>
      <c r="D33" s="59"/>
      <c r="E33" s="59"/>
      <c r="F33" s="59"/>
      <c r="G33" s="59"/>
      <c r="H33" s="59"/>
      <c r="I33" s="59"/>
      <c r="J33" s="59"/>
      <c r="K33" s="59"/>
      <c r="L33" s="58"/>
      <c r="M33" s="129"/>
      <c r="O33" s="113"/>
      <c r="P33" s="57"/>
      <c r="Q33" s="59"/>
      <c r="R33" s="59"/>
      <c r="S33" s="59"/>
      <c r="T33" s="59"/>
      <c r="U33" s="59"/>
      <c r="V33" s="59"/>
      <c r="W33" s="59"/>
      <c r="X33" s="59"/>
      <c r="Y33" s="58"/>
      <c r="Z33" s="129"/>
      <c r="AB33" s="113"/>
      <c r="AC33" s="57"/>
      <c r="AD33" s="59"/>
      <c r="AE33" s="59"/>
      <c r="AF33" s="59"/>
      <c r="AG33" s="59"/>
      <c r="AH33" s="59"/>
      <c r="AI33" s="59"/>
      <c r="AJ33" s="59"/>
      <c r="AK33" s="59"/>
      <c r="AL33" s="58"/>
      <c r="AM33" s="129"/>
    </row>
    <row r="34" spans="2:39" ht="12.75" customHeight="1">
      <c r="B34" s="113"/>
      <c r="C34" s="57"/>
      <c r="D34" s="59"/>
      <c r="E34" s="59"/>
      <c r="F34" s="59"/>
      <c r="G34" s="59"/>
      <c r="H34" s="59"/>
      <c r="I34" s="59"/>
      <c r="J34" s="59"/>
      <c r="K34" s="59"/>
      <c r="L34" s="58"/>
      <c r="M34" s="129"/>
      <c r="O34" s="113"/>
      <c r="P34" s="57"/>
      <c r="Q34" s="59"/>
      <c r="R34" s="59"/>
      <c r="S34" s="59"/>
      <c r="T34" s="59"/>
      <c r="U34" s="59"/>
      <c r="V34" s="59"/>
      <c r="W34" s="59"/>
      <c r="X34" s="59"/>
      <c r="Y34" s="58"/>
      <c r="Z34" s="129"/>
      <c r="AB34" s="113"/>
      <c r="AC34" s="57"/>
      <c r="AD34" s="59"/>
      <c r="AE34" s="59"/>
      <c r="AF34" s="59"/>
      <c r="AG34" s="59"/>
      <c r="AH34" s="59"/>
      <c r="AI34" s="59"/>
      <c r="AJ34" s="59"/>
      <c r="AK34" s="59"/>
      <c r="AL34" s="58"/>
      <c r="AM34" s="129"/>
    </row>
    <row r="35" spans="2:39" ht="12.75" customHeight="1">
      <c r="B35" s="113"/>
      <c r="C35" s="57"/>
      <c r="D35" s="59"/>
      <c r="E35" s="59"/>
      <c r="F35" s="59"/>
      <c r="G35" s="59"/>
      <c r="H35" s="59"/>
      <c r="I35" s="59"/>
      <c r="J35" s="59"/>
      <c r="K35" s="59"/>
      <c r="L35" s="58"/>
      <c r="M35" s="129"/>
      <c r="O35" s="113"/>
      <c r="P35" s="57"/>
      <c r="Q35" s="59"/>
      <c r="R35" s="59"/>
      <c r="S35" s="59"/>
      <c r="T35" s="59"/>
      <c r="U35" s="59"/>
      <c r="V35" s="59"/>
      <c r="W35" s="59"/>
      <c r="X35" s="59"/>
      <c r="Y35" s="58"/>
      <c r="Z35" s="129"/>
      <c r="AB35" s="113"/>
      <c r="AC35" s="57"/>
      <c r="AD35" s="59"/>
      <c r="AE35" s="59"/>
      <c r="AF35" s="59"/>
      <c r="AG35" s="59"/>
      <c r="AH35" s="59"/>
      <c r="AI35" s="59"/>
      <c r="AJ35" s="59"/>
      <c r="AK35" s="59"/>
      <c r="AL35" s="58"/>
      <c r="AM35" s="129"/>
    </row>
    <row r="36" spans="2:39" ht="12.75" customHeight="1">
      <c r="B36" s="113"/>
      <c r="C36" s="57"/>
      <c r="D36" s="59"/>
      <c r="E36" s="59"/>
      <c r="F36" s="59"/>
      <c r="G36" s="59"/>
      <c r="H36" s="160"/>
      <c r="I36" s="59"/>
      <c r="J36" s="59"/>
      <c r="K36" s="59"/>
      <c r="L36" s="58"/>
      <c r="M36" s="129"/>
      <c r="O36" s="113"/>
      <c r="P36" s="57"/>
      <c r="Q36" s="59"/>
      <c r="R36" s="59"/>
      <c r="S36" s="59"/>
      <c r="T36" s="59"/>
      <c r="U36" s="160"/>
      <c r="V36" s="59"/>
      <c r="W36" s="59"/>
      <c r="X36" s="59"/>
      <c r="Y36" s="58"/>
      <c r="Z36" s="129"/>
      <c r="AB36" s="113"/>
      <c r="AC36" s="57"/>
      <c r="AD36" s="59"/>
      <c r="AE36" s="59"/>
      <c r="AF36" s="59"/>
      <c r="AG36" s="59"/>
      <c r="AH36" s="160"/>
      <c r="AI36" s="59"/>
      <c r="AJ36" s="59"/>
      <c r="AK36" s="59"/>
      <c r="AL36" s="58"/>
      <c r="AM36" s="129"/>
    </row>
    <row r="37" spans="2:39" ht="12.75" customHeight="1">
      <c r="B37" s="113"/>
      <c r="C37" s="57"/>
      <c r="D37" s="59"/>
      <c r="E37" s="59"/>
      <c r="F37" s="59"/>
      <c r="G37" s="59"/>
      <c r="H37" s="59"/>
      <c r="I37" s="59"/>
      <c r="J37" s="59"/>
      <c r="K37" s="59"/>
      <c r="L37" s="58"/>
      <c r="M37" s="146"/>
      <c r="O37" s="113"/>
      <c r="P37" s="57"/>
      <c r="Q37" s="59"/>
      <c r="R37" s="59"/>
      <c r="S37" s="59"/>
      <c r="T37" s="59"/>
      <c r="U37" s="59"/>
      <c r="V37" s="59"/>
      <c r="W37" s="59"/>
      <c r="X37" s="59"/>
      <c r="Y37" s="58"/>
      <c r="Z37" s="146"/>
      <c r="AB37" s="113"/>
      <c r="AC37" s="57"/>
      <c r="AD37" s="59"/>
      <c r="AE37" s="59"/>
      <c r="AF37" s="59"/>
      <c r="AG37" s="59"/>
      <c r="AH37" s="59"/>
      <c r="AI37" s="59"/>
      <c r="AJ37" s="59"/>
      <c r="AK37" s="59"/>
      <c r="AL37" s="58"/>
      <c r="AM37" s="146"/>
    </row>
    <row r="38" spans="2:39" ht="12.75" customHeight="1">
      <c r="B38" s="113"/>
      <c r="C38" s="57"/>
      <c r="D38" s="59"/>
      <c r="E38" s="59"/>
      <c r="F38" s="59"/>
      <c r="G38" s="59"/>
      <c r="H38" s="60"/>
      <c r="I38" s="59"/>
      <c r="J38" s="59"/>
      <c r="K38" s="59"/>
      <c r="L38" s="58"/>
      <c r="M38" s="129"/>
      <c r="O38" s="113"/>
      <c r="P38" s="57"/>
      <c r="Q38" s="59"/>
      <c r="R38" s="59"/>
      <c r="S38" s="59"/>
      <c r="T38" s="59"/>
      <c r="U38" s="60"/>
      <c r="V38" s="59"/>
      <c r="W38" s="59"/>
      <c r="X38" s="59"/>
      <c r="Y38" s="58"/>
      <c r="Z38" s="129"/>
      <c r="AB38" s="113"/>
      <c r="AC38" s="57"/>
      <c r="AD38" s="59"/>
      <c r="AE38" s="59"/>
      <c r="AF38" s="59"/>
      <c r="AG38" s="59"/>
      <c r="AH38" s="60"/>
      <c r="AI38" s="59"/>
      <c r="AJ38" s="59"/>
      <c r="AK38" s="59"/>
      <c r="AL38" s="58"/>
      <c r="AM38" s="129"/>
    </row>
    <row r="39" spans="2:39" ht="12.75" customHeight="1">
      <c r="B39" s="113"/>
      <c r="C39" s="57"/>
      <c r="D39" s="59"/>
      <c r="E39" s="59"/>
      <c r="F39" s="59"/>
      <c r="G39" s="59"/>
      <c r="H39" s="59"/>
      <c r="I39" s="59"/>
      <c r="J39" s="59"/>
      <c r="K39" s="59"/>
      <c r="L39" s="58"/>
      <c r="M39" s="129"/>
      <c r="O39" s="113"/>
      <c r="P39" s="57"/>
      <c r="Q39" s="59"/>
      <c r="R39" s="59"/>
      <c r="S39" s="59"/>
      <c r="T39" s="59"/>
      <c r="U39" s="59"/>
      <c r="V39" s="59"/>
      <c r="W39" s="59"/>
      <c r="X39" s="59"/>
      <c r="Y39" s="58"/>
      <c r="Z39" s="129"/>
      <c r="AB39" s="113"/>
      <c r="AC39" s="57"/>
      <c r="AD39" s="59"/>
      <c r="AE39" s="59"/>
      <c r="AF39" s="59"/>
      <c r="AG39" s="59"/>
      <c r="AH39" s="59"/>
      <c r="AI39" s="59"/>
      <c r="AJ39" s="59"/>
      <c r="AK39" s="59"/>
      <c r="AL39" s="58"/>
      <c r="AM39" s="129"/>
    </row>
    <row r="40" spans="2:39" ht="12.75" customHeight="1">
      <c r="B40" s="113"/>
      <c r="C40" s="57"/>
      <c r="D40" s="59"/>
      <c r="E40" s="59"/>
      <c r="F40" s="59"/>
      <c r="G40" s="59"/>
      <c r="H40" s="59"/>
      <c r="I40" s="59"/>
      <c r="J40" s="59"/>
      <c r="K40" s="59"/>
      <c r="L40" s="58"/>
      <c r="M40" s="129"/>
      <c r="O40" s="113"/>
      <c r="P40" s="57"/>
      <c r="Q40" s="59"/>
      <c r="R40" s="59"/>
      <c r="S40" s="59"/>
      <c r="T40" s="59"/>
      <c r="U40" s="59"/>
      <c r="V40" s="59"/>
      <c r="W40" s="59"/>
      <c r="X40" s="59"/>
      <c r="Y40" s="58"/>
      <c r="Z40" s="129"/>
      <c r="AB40" s="113"/>
      <c r="AC40" s="57"/>
      <c r="AD40" s="59"/>
      <c r="AE40" s="59"/>
      <c r="AF40" s="59"/>
      <c r="AG40" s="59"/>
      <c r="AH40" s="59"/>
      <c r="AI40" s="59"/>
      <c r="AJ40" s="59"/>
      <c r="AK40" s="59"/>
      <c r="AL40" s="58"/>
      <c r="AM40" s="129"/>
    </row>
    <row r="41" spans="2:39" ht="12.75" customHeight="1">
      <c r="B41" s="113"/>
      <c r="C41" s="57"/>
      <c r="D41" s="59"/>
      <c r="E41" s="59"/>
      <c r="F41" s="59"/>
      <c r="G41" s="59"/>
      <c r="H41" s="59"/>
      <c r="I41" s="59"/>
      <c r="J41" s="59"/>
      <c r="K41" s="59"/>
      <c r="L41" s="58"/>
      <c r="M41" s="129"/>
      <c r="O41" s="113"/>
      <c r="P41" s="57"/>
      <c r="Q41" s="59"/>
      <c r="R41" s="59"/>
      <c r="S41" s="59"/>
      <c r="T41" s="59"/>
      <c r="U41" s="59"/>
      <c r="V41" s="59"/>
      <c r="W41" s="59"/>
      <c r="X41" s="59"/>
      <c r="Y41" s="58"/>
      <c r="Z41" s="129"/>
      <c r="AB41" s="113"/>
      <c r="AC41" s="57"/>
      <c r="AD41" s="59"/>
      <c r="AE41" s="59"/>
      <c r="AF41" s="59"/>
      <c r="AG41" s="59"/>
      <c r="AH41" s="59"/>
      <c r="AI41" s="59"/>
      <c r="AJ41" s="59"/>
      <c r="AK41" s="59"/>
      <c r="AL41" s="58"/>
      <c r="AM41" s="129"/>
    </row>
    <row r="42" spans="2:39" ht="12.75" customHeight="1">
      <c r="B42" s="113"/>
      <c r="C42" s="57"/>
      <c r="D42" s="83"/>
      <c r="E42" s="83"/>
      <c r="F42" s="83"/>
      <c r="G42" s="83"/>
      <c r="H42" s="83"/>
      <c r="I42" s="83"/>
      <c r="J42" s="83"/>
      <c r="K42" s="83"/>
      <c r="L42" s="58"/>
      <c r="M42" s="129"/>
      <c r="O42" s="113"/>
      <c r="P42" s="57"/>
      <c r="Q42" s="41"/>
      <c r="R42" s="41"/>
      <c r="S42" s="41"/>
      <c r="T42" s="41"/>
      <c r="U42" s="41"/>
      <c r="V42" s="41"/>
      <c r="W42" s="41"/>
      <c r="X42" s="41"/>
      <c r="Y42" s="58"/>
      <c r="Z42" s="129"/>
      <c r="AB42" s="113"/>
      <c r="AC42" s="57"/>
      <c r="AD42" s="41"/>
      <c r="AE42" s="41"/>
      <c r="AF42" s="41"/>
      <c r="AG42" s="41"/>
      <c r="AH42" s="41"/>
      <c r="AI42" s="41"/>
      <c r="AJ42" s="41"/>
      <c r="AK42" s="41"/>
      <c r="AL42" s="58"/>
      <c r="AM42" s="129"/>
    </row>
    <row r="43" spans="2:39" ht="12.75" customHeight="1">
      <c r="B43" s="113"/>
      <c r="C43" s="57"/>
      <c r="D43" s="83"/>
      <c r="E43" s="59"/>
      <c r="F43" s="59"/>
      <c r="G43" s="59"/>
      <c r="H43" s="59"/>
      <c r="I43" s="59"/>
      <c r="J43" s="59"/>
      <c r="K43" s="59"/>
      <c r="L43" s="58"/>
      <c r="M43" s="129"/>
      <c r="O43" s="113"/>
      <c r="P43" s="57"/>
      <c r="Q43" s="41"/>
      <c r="R43" s="59"/>
      <c r="S43" s="59"/>
      <c r="T43" s="59"/>
      <c r="U43" s="59"/>
      <c r="V43" s="59"/>
      <c r="W43" s="59"/>
      <c r="X43" s="59"/>
      <c r="Y43" s="58"/>
      <c r="Z43" s="129"/>
      <c r="AB43" s="113"/>
      <c r="AC43" s="57"/>
      <c r="AD43" s="41"/>
      <c r="AE43" s="59"/>
      <c r="AF43" s="59"/>
      <c r="AG43" s="59"/>
      <c r="AH43" s="59"/>
      <c r="AI43" s="59"/>
      <c r="AJ43" s="59"/>
      <c r="AK43" s="59"/>
      <c r="AL43" s="58"/>
      <c r="AM43" s="129"/>
    </row>
    <row r="44" spans="2:39" ht="12.75" customHeight="1">
      <c r="B44" s="113"/>
      <c r="C44" s="57"/>
      <c r="D44" s="83"/>
      <c r="E44" s="83"/>
      <c r="F44" s="83"/>
      <c r="G44" s="83"/>
      <c r="H44" s="83"/>
      <c r="I44" s="83"/>
      <c r="J44" s="83"/>
      <c r="K44" s="83"/>
      <c r="L44" s="58"/>
      <c r="M44" s="129"/>
      <c r="O44" s="113"/>
      <c r="P44" s="57"/>
      <c r="Q44" s="532"/>
      <c r="R44" s="532"/>
      <c r="S44" s="532"/>
      <c r="T44" s="532"/>
      <c r="U44" s="532"/>
      <c r="V44" s="532"/>
      <c r="W44" s="532"/>
      <c r="X44" s="532"/>
      <c r="Y44" s="58"/>
      <c r="Z44" s="129"/>
      <c r="AB44" s="113"/>
      <c r="AC44" s="57"/>
      <c r="AD44" s="532"/>
      <c r="AE44" s="532"/>
      <c r="AF44" s="532"/>
      <c r="AG44" s="532"/>
      <c r="AH44" s="532"/>
      <c r="AI44" s="532"/>
      <c r="AJ44" s="532"/>
      <c r="AK44" s="532"/>
      <c r="AL44" s="58"/>
      <c r="AM44" s="129"/>
    </row>
    <row r="45" spans="2:39" ht="12.75" customHeight="1">
      <c r="B45" s="113"/>
      <c r="C45" s="57"/>
      <c r="D45" s="55"/>
      <c r="E45" s="55"/>
      <c r="F45" s="55"/>
      <c r="G45" s="55"/>
      <c r="H45" s="55"/>
      <c r="I45" s="55"/>
      <c r="J45" s="55"/>
      <c r="K45" s="55"/>
      <c r="L45" s="58"/>
      <c r="M45" s="129"/>
      <c r="O45" s="113"/>
      <c r="P45" s="57"/>
      <c r="Q45" s="532"/>
      <c r="R45" s="532"/>
      <c r="S45" s="532"/>
      <c r="T45" s="532"/>
      <c r="U45" s="532"/>
      <c r="V45" s="532"/>
      <c r="W45" s="532"/>
      <c r="X45" s="532"/>
      <c r="Y45" s="58"/>
      <c r="Z45" s="129"/>
      <c r="AB45" s="113"/>
      <c r="AC45" s="57"/>
      <c r="AD45" s="532"/>
      <c r="AE45" s="532"/>
      <c r="AF45" s="532"/>
      <c r="AG45" s="532"/>
      <c r="AH45" s="532"/>
      <c r="AI45" s="532"/>
      <c r="AJ45" s="532"/>
      <c r="AK45" s="532"/>
      <c r="AL45" s="58"/>
      <c r="AM45" s="129"/>
    </row>
    <row r="46" spans="2:39" ht="12.75" customHeight="1">
      <c r="B46" s="113"/>
      <c r="C46" s="57"/>
      <c r="D46" s="532"/>
      <c r="E46" s="532"/>
      <c r="F46" s="532"/>
      <c r="G46" s="532"/>
      <c r="H46" s="532"/>
      <c r="I46" s="532"/>
      <c r="J46" s="59"/>
      <c r="K46" s="59"/>
      <c r="L46" s="58"/>
      <c r="M46" s="129"/>
      <c r="O46" s="113"/>
      <c r="P46" s="57"/>
      <c r="Q46" s="532"/>
      <c r="R46" s="59"/>
      <c r="S46" s="59"/>
      <c r="T46" s="59"/>
      <c r="U46" s="59"/>
      <c r="V46" s="59"/>
      <c r="W46" s="59"/>
      <c r="X46" s="59"/>
      <c r="Y46" s="58"/>
      <c r="Z46" s="129"/>
      <c r="AB46" s="113"/>
      <c r="AC46" s="57"/>
      <c r="AD46" s="532"/>
      <c r="AE46" s="59"/>
      <c r="AF46" s="59"/>
      <c r="AG46" s="59"/>
      <c r="AH46" s="59"/>
      <c r="AI46" s="59"/>
      <c r="AJ46" s="59"/>
      <c r="AK46" s="59"/>
      <c r="AL46" s="58"/>
      <c r="AM46" s="129"/>
    </row>
    <row r="47" spans="2:39" ht="12.75" customHeight="1">
      <c r="B47" s="113"/>
      <c r="C47" s="57"/>
      <c r="D47" s="532"/>
      <c r="E47" s="532"/>
      <c r="F47" s="532"/>
      <c r="G47" s="532"/>
      <c r="H47" s="532"/>
      <c r="I47" s="532"/>
      <c r="J47" s="55"/>
      <c r="K47" s="55"/>
      <c r="L47" s="58"/>
      <c r="M47" s="129"/>
      <c r="O47" s="113"/>
      <c r="P47" s="57"/>
      <c r="Q47" s="532"/>
      <c r="R47" s="532"/>
      <c r="S47" s="532"/>
      <c r="T47" s="532"/>
      <c r="U47" s="532"/>
      <c r="V47" s="532"/>
      <c r="W47" s="532"/>
      <c r="X47" s="532"/>
      <c r="Y47" s="58"/>
      <c r="Z47" s="129"/>
      <c r="AB47" s="113"/>
      <c r="AC47" s="57"/>
      <c r="AD47" s="532"/>
      <c r="AE47" s="532"/>
      <c r="AF47" s="532"/>
      <c r="AG47" s="532"/>
      <c r="AH47" s="532"/>
      <c r="AI47" s="532"/>
      <c r="AJ47" s="532"/>
      <c r="AK47" s="532"/>
      <c r="AL47" s="58"/>
      <c r="AM47" s="129"/>
    </row>
    <row r="48" spans="2:39" ht="12.75" customHeight="1">
      <c r="B48" s="113"/>
      <c r="C48" s="57"/>
      <c r="D48" s="532"/>
      <c r="E48" s="532"/>
      <c r="F48" s="532"/>
      <c r="G48" s="532"/>
      <c r="H48" s="532"/>
      <c r="I48" s="532"/>
      <c r="J48" s="55"/>
      <c r="K48" s="55"/>
      <c r="L48" s="58"/>
      <c r="M48" s="129"/>
      <c r="O48" s="113"/>
      <c r="P48" s="57"/>
      <c r="Q48" s="532"/>
      <c r="R48" s="532"/>
      <c r="S48" s="532"/>
      <c r="T48" s="532"/>
      <c r="U48" s="532"/>
      <c r="V48" s="532"/>
      <c r="W48" s="532"/>
      <c r="X48" s="532"/>
      <c r="Y48" s="58"/>
      <c r="Z48" s="129"/>
      <c r="AB48" s="113"/>
      <c r="AC48" s="57"/>
      <c r="AD48" s="532"/>
      <c r="AE48" s="532"/>
      <c r="AF48" s="532"/>
      <c r="AG48" s="532"/>
      <c r="AH48" s="532"/>
      <c r="AI48" s="532"/>
      <c r="AJ48" s="532"/>
      <c r="AK48" s="532"/>
      <c r="AL48" s="58"/>
      <c r="AM48" s="129"/>
    </row>
    <row r="49" spans="2:39" ht="12.75" customHeight="1">
      <c r="B49" s="113"/>
      <c r="C49" s="57"/>
      <c r="D49" s="59"/>
      <c r="E49" s="59"/>
      <c r="F49" s="59"/>
      <c r="G49" s="59"/>
      <c r="H49" s="161"/>
      <c r="I49" s="59"/>
      <c r="J49" s="55"/>
      <c r="K49" s="55"/>
      <c r="L49" s="58"/>
      <c r="M49" s="129"/>
      <c r="O49" s="113"/>
      <c r="P49" s="57"/>
      <c r="Q49" s="532"/>
      <c r="R49" s="532"/>
      <c r="S49" s="532"/>
      <c r="T49" s="532"/>
      <c r="U49" s="532"/>
      <c r="V49" s="532"/>
      <c r="W49" s="532"/>
      <c r="X49" s="532"/>
      <c r="Y49" s="58"/>
      <c r="Z49" s="129"/>
      <c r="AB49" s="113"/>
      <c r="AC49" s="57"/>
      <c r="AD49" s="532"/>
      <c r="AE49" s="532"/>
      <c r="AF49" s="532"/>
      <c r="AG49" s="532"/>
      <c r="AH49" s="532"/>
      <c r="AI49" s="532"/>
      <c r="AJ49" s="532"/>
      <c r="AK49" s="532"/>
      <c r="AL49" s="58"/>
      <c r="AM49" s="129"/>
    </row>
    <row r="50" spans="2:39" ht="12.75" customHeight="1">
      <c r="B50" s="113"/>
      <c r="C50" s="135"/>
      <c r="D50" s="149"/>
      <c r="E50" s="137"/>
      <c r="F50" s="137"/>
      <c r="G50" s="137"/>
      <c r="H50" s="147"/>
      <c r="I50" s="137"/>
      <c r="J50" s="59"/>
      <c r="K50" s="59"/>
      <c r="L50" s="58"/>
      <c r="M50" s="129"/>
      <c r="O50" s="113"/>
      <c r="P50" s="57"/>
      <c r="Q50" s="59"/>
      <c r="R50" s="59"/>
      <c r="S50" s="59"/>
      <c r="T50" s="59"/>
      <c r="U50" s="161"/>
      <c r="V50" s="59"/>
      <c r="W50" s="59"/>
      <c r="X50" s="59"/>
      <c r="Y50" s="58"/>
      <c r="Z50" s="129"/>
      <c r="AB50" s="113"/>
      <c r="AC50" s="57"/>
      <c r="AD50" s="59"/>
      <c r="AE50" s="59"/>
      <c r="AF50" s="59"/>
      <c r="AG50" s="59"/>
      <c r="AH50" s="161"/>
      <c r="AI50" s="59"/>
      <c r="AJ50" s="59"/>
      <c r="AK50" s="59"/>
      <c r="AL50" s="58"/>
      <c r="AM50" s="129"/>
    </row>
    <row r="51" spans="2:39" ht="12.75" customHeight="1">
      <c r="B51" s="113"/>
      <c r="C51" s="135"/>
      <c r="D51" s="532"/>
      <c r="E51" s="532"/>
      <c r="F51" s="532"/>
      <c r="G51" s="532"/>
      <c r="H51" s="532"/>
      <c r="I51" s="532"/>
      <c r="J51" s="137"/>
      <c r="K51" s="149"/>
      <c r="L51" s="45"/>
      <c r="M51" s="129"/>
      <c r="O51" s="113"/>
      <c r="P51" s="135"/>
      <c r="Q51" s="149"/>
      <c r="R51" s="137"/>
      <c r="S51" s="137"/>
      <c r="T51" s="137"/>
      <c r="U51" s="147"/>
      <c r="V51" s="137"/>
      <c r="W51" s="137"/>
      <c r="X51" s="149"/>
      <c r="Y51" s="45"/>
      <c r="Z51" s="129"/>
      <c r="AB51" s="113"/>
      <c r="AC51" s="135"/>
      <c r="AD51" s="149"/>
      <c r="AE51" s="137"/>
      <c r="AF51" s="137"/>
      <c r="AG51" s="137"/>
      <c r="AH51" s="147"/>
      <c r="AI51" s="137"/>
      <c r="AJ51" s="137"/>
      <c r="AK51" s="149"/>
      <c r="AL51" s="45"/>
      <c r="AM51" s="129"/>
    </row>
    <row r="52" spans="2:39" ht="12.75" customHeight="1">
      <c r="B52" s="113"/>
      <c r="C52" s="132"/>
      <c r="D52" s="532"/>
      <c r="E52" s="532"/>
      <c r="F52" s="532"/>
      <c r="G52" s="532"/>
      <c r="H52" s="532"/>
      <c r="I52" s="532"/>
      <c r="J52" s="55"/>
      <c r="K52" s="55"/>
      <c r="L52" s="45"/>
      <c r="M52" s="129"/>
      <c r="O52" s="113"/>
      <c r="P52" s="135"/>
      <c r="Q52" s="532"/>
      <c r="R52" s="532"/>
      <c r="S52" s="532"/>
      <c r="T52" s="532"/>
      <c r="U52" s="532"/>
      <c r="V52" s="532"/>
      <c r="W52" s="532"/>
      <c r="X52" s="532"/>
      <c r="Y52" s="45"/>
      <c r="Z52" s="129"/>
      <c r="AB52" s="113"/>
      <c r="AC52" s="135"/>
      <c r="AD52" s="532"/>
      <c r="AE52" s="532"/>
      <c r="AF52" s="532"/>
      <c r="AG52" s="532"/>
      <c r="AH52" s="532"/>
      <c r="AI52" s="532"/>
      <c r="AJ52" s="532"/>
      <c r="AK52" s="532"/>
      <c r="AL52" s="45"/>
      <c r="AM52" s="129"/>
    </row>
    <row r="53" spans="2:39" ht="12.75" customHeight="1">
      <c r="B53" s="113"/>
      <c r="C53" s="132"/>
      <c r="D53" s="147"/>
      <c r="E53" s="137"/>
      <c r="F53" s="137"/>
      <c r="G53" s="137"/>
      <c r="H53" s="155"/>
      <c r="I53" s="149"/>
      <c r="J53" s="55"/>
      <c r="K53" s="55"/>
      <c r="L53" s="45"/>
      <c r="M53" s="129"/>
      <c r="O53" s="113"/>
      <c r="P53" s="132"/>
      <c r="Q53" s="532"/>
      <c r="R53" s="532"/>
      <c r="S53" s="532"/>
      <c r="T53" s="532"/>
      <c r="U53" s="532"/>
      <c r="V53" s="532"/>
      <c r="W53" s="532"/>
      <c r="X53" s="532"/>
      <c r="Y53" s="45"/>
      <c r="Z53" s="129"/>
      <c r="AB53" s="113"/>
      <c r="AC53" s="132"/>
      <c r="AD53" s="532"/>
      <c r="AE53" s="532"/>
      <c r="AF53" s="532"/>
      <c r="AG53" s="532"/>
      <c r="AH53" s="532"/>
      <c r="AI53" s="532"/>
      <c r="AJ53" s="532"/>
      <c r="AK53" s="532"/>
      <c r="AL53" s="45"/>
      <c r="AM53" s="129"/>
    </row>
    <row r="54" spans="2:39" ht="12.75" customHeight="1">
      <c r="B54" s="113"/>
      <c r="C54" s="57"/>
      <c r="D54" s="137"/>
      <c r="E54" s="137"/>
      <c r="F54" s="137"/>
      <c r="G54" s="137"/>
      <c r="H54" s="137"/>
      <c r="I54" s="137"/>
      <c r="J54" s="149"/>
      <c r="K54" s="137"/>
      <c r="L54" s="45"/>
      <c r="M54" s="129"/>
      <c r="O54" s="113"/>
      <c r="P54" s="132"/>
      <c r="Q54" s="147"/>
      <c r="R54" s="137"/>
      <c r="S54" s="137"/>
      <c r="T54" s="137"/>
      <c r="U54" s="155"/>
      <c r="V54" s="149"/>
      <c r="W54" s="149"/>
      <c r="X54" s="137"/>
      <c r="Y54" s="45"/>
      <c r="Z54" s="129"/>
      <c r="AB54" s="113"/>
      <c r="AC54" s="132"/>
      <c r="AD54" s="147"/>
      <c r="AE54" s="137"/>
      <c r="AF54" s="137"/>
      <c r="AG54" s="137"/>
      <c r="AH54" s="155"/>
      <c r="AI54" s="149"/>
      <c r="AJ54" s="149"/>
      <c r="AK54" s="137"/>
      <c r="AL54" s="45"/>
      <c r="AM54" s="129"/>
    </row>
    <row r="55" spans="2:39" ht="12.75" customHeight="1">
      <c r="B55" s="113"/>
      <c r="C55" s="57"/>
      <c r="D55" s="137"/>
      <c r="E55" s="137"/>
      <c r="F55" s="137"/>
      <c r="G55" s="137"/>
      <c r="H55" s="137"/>
      <c r="I55" s="137"/>
      <c r="J55" s="137"/>
      <c r="K55" s="137"/>
      <c r="L55" s="58"/>
      <c r="M55" s="129"/>
      <c r="O55" s="113"/>
      <c r="P55" s="57"/>
      <c r="Q55" s="137"/>
      <c r="R55" s="137"/>
      <c r="S55" s="137"/>
      <c r="T55" s="137"/>
      <c r="U55" s="137"/>
      <c r="V55" s="137"/>
      <c r="W55" s="137"/>
      <c r="X55" s="137"/>
      <c r="Y55" s="58"/>
      <c r="Z55" s="129"/>
      <c r="AB55" s="113"/>
      <c r="AC55" s="57"/>
      <c r="AD55" s="137"/>
      <c r="AE55" s="137"/>
      <c r="AF55" s="137"/>
      <c r="AG55" s="137"/>
      <c r="AH55" s="137"/>
      <c r="AI55" s="137"/>
      <c r="AJ55" s="137"/>
      <c r="AK55" s="137"/>
      <c r="AL55" s="58"/>
      <c r="AM55" s="129"/>
    </row>
    <row r="56" spans="2:39" ht="12.75" customHeight="1">
      <c r="B56" s="113"/>
      <c r="C56" s="57"/>
      <c r="D56" s="28"/>
      <c r="E56" s="59"/>
      <c r="F56" s="59"/>
      <c r="G56" s="59"/>
      <c r="H56" s="160"/>
      <c r="I56" s="59"/>
      <c r="J56" s="59"/>
      <c r="K56" s="59"/>
      <c r="L56" s="58"/>
      <c r="M56" s="129"/>
      <c r="O56" s="113"/>
      <c r="P56" s="57"/>
      <c r="Q56" s="28"/>
      <c r="R56" s="59"/>
      <c r="S56" s="59"/>
      <c r="T56" s="59"/>
      <c r="U56" s="160"/>
      <c r="V56" s="59"/>
      <c r="W56" s="59"/>
      <c r="X56" s="59"/>
      <c r="Y56" s="58"/>
      <c r="Z56" s="129"/>
      <c r="AB56" s="113"/>
      <c r="AC56" s="57"/>
      <c r="AD56" s="28"/>
      <c r="AE56" s="59"/>
      <c r="AF56" s="59"/>
      <c r="AG56" s="59"/>
      <c r="AH56" s="160"/>
      <c r="AI56" s="59"/>
      <c r="AJ56" s="59"/>
      <c r="AK56" s="59"/>
      <c r="AL56" s="58"/>
      <c r="AM56" s="129"/>
    </row>
    <row r="57" spans="2:39" ht="12.75" customHeight="1">
      <c r="B57" s="113"/>
      <c r="C57" s="42"/>
      <c r="D57" s="41"/>
      <c r="E57" s="41"/>
      <c r="F57" s="41"/>
      <c r="G57" s="41"/>
      <c r="H57" s="44"/>
      <c r="I57" s="41"/>
      <c r="J57" s="41"/>
      <c r="K57" s="41"/>
      <c r="L57" s="45"/>
      <c r="M57" s="129"/>
      <c r="O57" s="113"/>
      <c r="P57" s="42"/>
      <c r="Q57" s="41"/>
      <c r="R57" s="41"/>
      <c r="S57" s="41"/>
      <c r="T57" s="41"/>
      <c r="U57" s="44"/>
      <c r="V57" s="41"/>
      <c r="W57" s="41"/>
      <c r="X57" s="41"/>
      <c r="Y57" s="45"/>
      <c r="Z57" s="129"/>
      <c r="AB57" s="113"/>
      <c r="AC57" s="42"/>
      <c r="AD57" s="41"/>
      <c r="AE57" s="41"/>
      <c r="AF57" s="41"/>
      <c r="AG57" s="41"/>
      <c r="AH57" s="44"/>
      <c r="AI57" s="41"/>
      <c r="AJ57" s="41"/>
      <c r="AK57" s="41"/>
      <c r="AL57" s="45"/>
      <c r="AM57" s="129"/>
    </row>
    <row r="58" spans="2:39" ht="12.75" customHeight="1">
      <c r="B58" s="113"/>
      <c r="C58" s="42"/>
      <c r="D58" s="41"/>
      <c r="E58" s="41"/>
      <c r="F58" s="41"/>
      <c r="G58" s="41"/>
      <c r="H58" s="41"/>
      <c r="I58" s="41"/>
      <c r="J58" s="41"/>
      <c r="K58" s="41"/>
      <c r="L58" s="45"/>
      <c r="M58" s="129"/>
      <c r="O58" s="113"/>
      <c r="P58" s="42"/>
      <c r="Q58" s="41"/>
      <c r="R58" s="41"/>
      <c r="S58" s="41"/>
      <c r="T58" s="41"/>
      <c r="U58" s="41"/>
      <c r="V58" s="41"/>
      <c r="W58" s="41"/>
      <c r="X58" s="41"/>
      <c r="Y58" s="45"/>
      <c r="Z58" s="129"/>
      <c r="AB58" s="113"/>
      <c r="AC58" s="42"/>
      <c r="AD58" s="41"/>
      <c r="AE58" s="41"/>
      <c r="AF58" s="41"/>
      <c r="AG58" s="41"/>
      <c r="AH58" s="41"/>
      <c r="AI58" s="41"/>
      <c r="AJ58" s="41"/>
      <c r="AK58" s="41"/>
      <c r="AL58" s="45"/>
      <c r="AM58" s="129"/>
    </row>
    <row r="59" spans="2:39" ht="12.75" customHeight="1">
      <c r="B59" s="113"/>
      <c r="C59" s="46"/>
      <c r="D59" s="47"/>
      <c r="E59" s="47"/>
      <c r="F59" s="47"/>
      <c r="G59" s="48"/>
      <c r="H59" s="47"/>
      <c r="I59" s="49"/>
      <c r="J59" s="49"/>
      <c r="K59" s="48"/>
      <c r="L59" s="50"/>
      <c r="M59" s="129"/>
      <c r="O59" s="113"/>
      <c r="P59" s="46"/>
      <c r="Q59" s="47"/>
      <c r="R59" s="47"/>
      <c r="S59" s="47"/>
      <c r="T59" s="48"/>
      <c r="U59" s="47"/>
      <c r="V59" s="49"/>
      <c r="W59" s="49"/>
      <c r="X59" s="48"/>
      <c r="Y59" s="50"/>
      <c r="Z59" s="129"/>
      <c r="AB59" s="113"/>
      <c r="AC59" s="46"/>
      <c r="AD59" s="47"/>
      <c r="AE59" s="47"/>
      <c r="AF59" s="47"/>
      <c r="AG59" s="48"/>
      <c r="AH59" s="47"/>
      <c r="AI59" s="49"/>
      <c r="AJ59" s="49"/>
      <c r="AK59" s="48"/>
      <c r="AL59" s="50"/>
      <c r="AM59" s="129"/>
    </row>
    <row r="60" spans="2:39" ht="12.75" customHeight="1" thickBot="1">
      <c r="B60" s="156"/>
      <c r="C60" s="157"/>
      <c r="D60" s="157"/>
      <c r="E60" s="157"/>
      <c r="F60" s="157"/>
      <c r="G60" s="157"/>
      <c r="H60" s="157"/>
      <c r="I60" s="157"/>
      <c r="J60" s="157"/>
      <c r="K60" s="157"/>
      <c r="L60" s="157"/>
      <c r="M60" s="158"/>
      <c r="O60" s="156"/>
      <c r="P60" s="157"/>
      <c r="Q60" s="157"/>
      <c r="R60" s="157"/>
      <c r="S60" s="157"/>
      <c r="T60" s="157"/>
      <c r="U60" s="157"/>
      <c r="V60" s="157"/>
      <c r="W60" s="157"/>
      <c r="X60" s="157"/>
      <c r="Y60" s="157"/>
      <c r="Z60" s="158"/>
      <c r="AB60" s="156"/>
      <c r="AC60" s="157"/>
      <c r="AD60" s="157"/>
      <c r="AE60" s="157"/>
      <c r="AF60" s="157"/>
      <c r="AG60" s="157"/>
      <c r="AH60" s="157"/>
      <c r="AI60" s="157"/>
      <c r="AJ60" s="157"/>
      <c r="AK60" s="157"/>
      <c r="AL60" s="157"/>
      <c r="AM60" s="158"/>
    </row>
    <row r="61" ht="12.75" customHeight="1" thickTop="1"/>
    <row r="62" ht="12.75" customHeight="1"/>
    <row r="63" spans="1:39" ht="12.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ht="12.75" customHeight="1">
      <c r="A64" s="20"/>
      <c r="B64" s="17"/>
      <c r="C64" s="17"/>
      <c r="D64" s="30"/>
      <c r="E64" s="17"/>
      <c r="F64" s="17"/>
      <c r="G64" s="18"/>
      <c r="H64" s="17"/>
      <c r="I64" s="17"/>
      <c r="J64" s="17"/>
      <c r="K64" s="20"/>
      <c r="L64" s="20"/>
      <c r="M64" s="20"/>
      <c r="N64" s="20"/>
      <c r="O64" s="17"/>
      <c r="P64" s="17"/>
      <c r="Q64" s="30"/>
      <c r="R64" s="17"/>
      <c r="S64" s="17"/>
      <c r="T64" s="18"/>
      <c r="U64" s="17"/>
      <c r="V64" s="17"/>
      <c r="W64" s="17"/>
      <c r="X64" s="20"/>
      <c r="Y64" s="20"/>
      <c r="Z64" s="20"/>
      <c r="AA64" s="20"/>
      <c r="AB64" s="17"/>
      <c r="AC64" s="17"/>
      <c r="AD64" s="30"/>
      <c r="AE64" s="17"/>
      <c r="AF64" s="17"/>
      <c r="AG64" s="18"/>
      <c r="AH64" s="17"/>
      <c r="AI64" s="17"/>
      <c r="AJ64" s="17"/>
      <c r="AK64" s="20"/>
      <c r="AL64" s="20"/>
      <c r="AM64" s="20"/>
    </row>
    <row r="65" spans="1:39" ht="12.75" customHeight="1">
      <c r="A65" s="20"/>
      <c r="B65" s="17"/>
      <c r="C65" s="17"/>
      <c r="D65" s="17"/>
      <c r="E65" s="17"/>
      <c r="F65" s="17"/>
      <c r="G65" s="17"/>
      <c r="H65" s="17"/>
      <c r="I65" s="17"/>
      <c r="J65" s="17"/>
      <c r="K65" s="20"/>
      <c r="L65" s="20"/>
      <c r="M65" s="20"/>
      <c r="N65" s="20"/>
      <c r="O65" s="17"/>
      <c r="P65" s="17"/>
      <c r="Q65" s="17"/>
      <c r="R65" s="17"/>
      <c r="S65" s="17"/>
      <c r="T65" s="17"/>
      <c r="U65" s="17"/>
      <c r="V65" s="17"/>
      <c r="W65" s="17"/>
      <c r="X65" s="20"/>
      <c r="Y65" s="20"/>
      <c r="Z65" s="20"/>
      <c r="AA65" s="20"/>
      <c r="AB65" s="17"/>
      <c r="AC65" s="17"/>
      <c r="AD65" s="17"/>
      <c r="AE65" s="17"/>
      <c r="AF65" s="17"/>
      <c r="AG65" s="17"/>
      <c r="AH65" s="17"/>
      <c r="AI65" s="17"/>
      <c r="AJ65" s="17"/>
      <c r="AK65" s="20"/>
      <c r="AL65" s="20"/>
      <c r="AM65" s="20"/>
    </row>
    <row r="66" spans="1:39" ht="12.75" customHeight="1">
      <c r="A66" s="20"/>
      <c r="B66" s="17"/>
      <c r="C66" s="17"/>
      <c r="D66" s="17"/>
      <c r="E66" s="17"/>
      <c r="F66" s="17"/>
      <c r="G66" s="17"/>
      <c r="H66" s="17"/>
      <c r="I66" s="17"/>
      <c r="J66" s="17"/>
      <c r="K66" s="20"/>
      <c r="L66" s="20"/>
      <c r="M66" s="20"/>
      <c r="N66" s="20"/>
      <c r="O66" s="17"/>
      <c r="P66" s="17"/>
      <c r="Q66" s="17"/>
      <c r="R66" s="17"/>
      <c r="S66" s="17"/>
      <c r="T66" s="17"/>
      <c r="U66" s="17"/>
      <c r="V66" s="17"/>
      <c r="W66" s="17"/>
      <c r="X66" s="20"/>
      <c r="Y66" s="20"/>
      <c r="Z66" s="20"/>
      <c r="AA66" s="20"/>
      <c r="AB66" s="17"/>
      <c r="AC66" s="17"/>
      <c r="AD66" s="17"/>
      <c r="AE66" s="17"/>
      <c r="AF66" s="17"/>
      <c r="AG66" s="17"/>
      <c r="AH66" s="17"/>
      <c r="AI66" s="17"/>
      <c r="AJ66" s="17"/>
      <c r="AK66" s="20"/>
      <c r="AL66" s="20"/>
      <c r="AM66" s="20"/>
    </row>
    <row r="67" spans="1:39" ht="12.75" customHeight="1">
      <c r="A67" s="20"/>
      <c r="B67" s="17"/>
      <c r="C67" s="17"/>
      <c r="D67" s="17"/>
      <c r="E67" s="17"/>
      <c r="F67" s="17"/>
      <c r="G67" s="17"/>
      <c r="H67" s="17"/>
      <c r="I67" s="17"/>
      <c r="J67" s="17"/>
      <c r="K67" s="20"/>
      <c r="L67" s="20"/>
      <c r="M67" s="20"/>
      <c r="N67" s="20"/>
      <c r="O67" s="17"/>
      <c r="P67" s="17"/>
      <c r="Q67" s="17"/>
      <c r="R67" s="17"/>
      <c r="S67" s="17"/>
      <c r="T67" s="17"/>
      <c r="U67" s="17"/>
      <c r="V67" s="17"/>
      <c r="W67" s="17"/>
      <c r="X67" s="20"/>
      <c r="Y67" s="20"/>
      <c r="Z67" s="20"/>
      <c r="AA67" s="20"/>
      <c r="AB67" s="17"/>
      <c r="AC67" s="17"/>
      <c r="AD67" s="17"/>
      <c r="AE67" s="17"/>
      <c r="AF67" s="17"/>
      <c r="AG67" s="17"/>
      <c r="AH67" s="17"/>
      <c r="AI67" s="17"/>
      <c r="AJ67" s="17"/>
      <c r="AK67" s="20"/>
      <c r="AL67" s="20"/>
      <c r="AM67" s="20"/>
    </row>
    <row r="68" spans="1:39" ht="12.75" customHeight="1">
      <c r="A68" s="20"/>
      <c r="B68" s="17"/>
      <c r="C68" s="17"/>
      <c r="D68" s="17"/>
      <c r="E68" s="17"/>
      <c r="F68" s="17"/>
      <c r="G68" s="17"/>
      <c r="H68" s="17"/>
      <c r="I68" s="17"/>
      <c r="J68" s="17"/>
      <c r="K68" s="17"/>
      <c r="L68" s="17"/>
      <c r="M68" s="17"/>
      <c r="N68" s="20"/>
      <c r="O68" s="17"/>
      <c r="P68" s="17"/>
      <c r="Q68" s="17"/>
      <c r="R68" s="17"/>
      <c r="S68" s="17"/>
      <c r="T68" s="17"/>
      <c r="U68" s="17"/>
      <c r="V68" s="17"/>
      <c r="W68" s="17"/>
      <c r="X68" s="17"/>
      <c r="Y68" s="17"/>
      <c r="Z68" s="17"/>
      <c r="AA68" s="20"/>
      <c r="AB68" s="17"/>
      <c r="AC68" s="17"/>
      <c r="AD68" s="17"/>
      <c r="AE68" s="17"/>
      <c r="AF68" s="17"/>
      <c r="AG68" s="17"/>
      <c r="AH68" s="17"/>
      <c r="AI68" s="17"/>
      <c r="AJ68" s="17"/>
      <c r="AK68" s="17"/>
      <c r="AL68" s="17"/>
      <c r="AM68" s="17"/>
    </row>
    <row r="69" spans="1:39" ht="12.75" customHeight="1">
      <c r="A69" s="20"/>
      <c r="B69" s="17"/>
      <c r="C69" s="17"/>
      <c r="D69" s="30"/>
      <c r="E69" s="17"/>
      <c r="F69" s="17"/>
      <c r="G69" s="18"/>
      <c r="H69" s="17"/>
      <c r="I69" s="17"/>
      <c r="J69" s="17"/>
      <c r="K69" s="17"/>
      <c r="L69" s="17"/>
      <c r="M69" s="17"/>
      <c r="N69" s="20"/>
      <c r="O69" s="17"/>
      <c r="P69" s="17"/>
      <c r="Q69" s="30"/>
      <c r="R69" s="17"/>
      <c r="S69" s="17"/>
      <c r="T69" s="18"/>
      <c r="U69" s="17"/>
      <c r="V69" s="17"/>
      <c r="W69" s="17"/>
      <c r="X69" s="17"/>
      <c r="Y69" s="17"/>
      <c r="Z69" s="17"/>
      <c r="AA69" s="20"/>
      <c r="AB69" s="17"/>
      <c r="AC69" s="17"/>
      <c r="AD69" s="30"/>
      <c r="AE69" s="17"/>
      <c r="AF69" s="17"/>
      <c r="AG69" s="18"/>
      <c r="AH69" s="17"/>
      <c r="AI69" s="17"/>
      <c r="AJ69" s="17"/>
      <c r="AK69" s="17"/>
      <c r="AL69" s="17"/>
      <c r="AM69" s="17"/>
    </row>
    <row r="70" spans="1:39" ht="12.75" customHeight="1">
      <c r="A70" s="20"/>
      <c r="B70" s="17"/>
      <c r="C70" s="17"/>
      <c r="D70" s="17"/>
      <c r="E70" s="17"/>
      <c r="F70" s="17"/>
      <c r="G70" s="18"/>
      <c r="H70" s="17"/>
      <c r="I70" s="17"/>
      <c r="J70" s="17"/>
      <c r="K70" s="17"/>
      <c r="L70" s="17"/>
      <c r="M70" s="17"/>
      <c r="N70" s="20"/>
      <c r="O70" s="17"/>
      <c r="P70" s="17"/>
      <c r="Q70" s="17"/>
      <c r="R70" s="17"/>
      <c r="S70" s="17"/>
      <c r="T70" s="18"/>
      <c r="U70" s="17"/>
      <c r="V70" s="17"/>
      <c r="W70" s="17"/>
      <c r="X70" s="17"/>
      <c r="Y70" s="17"/>
      <c r="Z70" s="17"/>
      <c r="AA70" s="20"/>
      <c r="AB70" s="17"/>
      <c r="AC70" s="17"/>
      <c r="AD70" s="17"/>
      <c r="AE70" s="17"/>
      <c r="AF70" s="17"/>
      <c r="AG70" s="18"/>
      <c r="AH70" s="17"/>
      <c r="AI70" s="17"/>
      <c r="AJ70" s="17"/>
      <c r="AK70" s="17"/>
      <c r="AL70" s="17"/>
      <c r="AM70" s="17"/>
    </row>
    <row r="71" spans="1:39" ht="12.75" customHeight="1">
      <c r="A71" s="20"/>
      <c r="B71" s="17"/>
      <c r="C71" s="17"/>
      <c r="D71" s="17"/>
      <c r="E71" s="17"/>
      <c r="F71" s="17"/>
      <c r="G71" s="18"/>
      <c r="H71" s="17"/>
      <c r="I71" s="17"/>
      <c r="J71" s="17"/>
      <c r="K71" s="17"/>
      <c r="L71" s="17"/>
      <c r="M71" s="17"/>
      <c r="N71" s="20"/>
      <c r="O71" s="17"/>
      <c r="P71" s="17"/>
      <c r="Q71" s="17"/>
      <c r="R71" s="17"/>
      <c r="S71" s="17"/>
      <c r="T71" s="18"/>
      <c r="U71" s="17"/>
      <c r="V71" s="17"/>
      <c r="W71" s="17"/>
      <c r="X71" s="17"/>
      <c r="Y71" s="17"/>
      <c r="Z71" s="17"/>
      <c r="AA71" s="20"/>
      <c r="AB71" s="17"/>
      <c r="AC71" s="17"/>
      <c r="AD71" s="17"/>
      <c r="AE71" s="17"/>
      <c r="AF71" s="17"/>
      <c r="AG71" s="18"/>
      <c r="AH71" s="17"/>
      <c r="AI71" s="17"/>
      <c r="AJ71" s="17"/>
      <c r="AK71" s="17"/>
      <c r="AL71" s="17"/>
      <c r="AM71" s="17"/>
    </row>
    <row r="72" spans="1:39" ht="12.75" customHeight="1">
      <c r="A72" s="20"/>
      <c r="B72" s="17"/>
      <c r="C72" s="17"/>
      <c r="D72" s="17"/>
      <c r="E72" s="17"/>
      <c r="F72" s="17"/>
      <c r="G72" s="17"/>
      <c r="H72" s="29"/>
      <c r="I72" s="17"/>
      <c r="J72" s="17"/>
      <c r="K72" s="17"/>
      <c r="L72" s="17"/>
      <c r="M72" s="17"/>
      <c r="N72" s="20"/>
      <c r="O72" s="17"/>
      <c r="P72" s="17"/>
      <c r="Q72" s="17"/>
      <c r="R72" s="17"/>
      <c r="S72" s="17"/>
      <c r="T72" s="17"/>
      <c r="U72" s="29"/>
      <c r="V72" s="17"/>
      <c r="W72" s="17"/>
      <c r="X72" s="17"/>
      <c r="Y72" s="17"/>
      <c r="Z72" s="17"/>
      <c r="AA72" s="20"/>
      <c r="AB72" s="17"/>
      <c r="AC72" s="17"/>
      <c r="AD72" s="17"/>
      <c r="AE72" s="17"/>
      <c r="AF72" s="17"/>
      <c r="AG72" s="17"/>
      <c r="AH72" s="29"/>
      <c r="AI72" s="17"/>
      <c r="AJ72" s="17"/>
      <c r="AK72" s="17"/>
      <c r="AL72" s="17"/>
      <c r="AM72" s="17"/>
    </row>
    <row r="73" spans="1:39" ht="12.75" customHeight="1">
      <c r="A73" s="20"/>
      <c r="B73" s="17"/>
      <c r="C73" s="17"/>
      <c r="D73" s="17"/>
      <c r="E73" s="17"/>
      <c r="F73" s="17"/>
      <c r="G73" s="17"/>
      <c r="H73" s="29"/>
      <c r="I73" s="17"/>
      <c r="J73" s="17"/>
      <c r="K73" s="17"/>
      <c r="L73" s="17"/>
      <c r="M73" s="17"/>
      <c r="N73" s="20"/>
      <c r="O73" s="17"/>
      <c r="P73" s="17"/>
      <c r="Q73" s="17"/>
      <c r="R73" s="17"/>
      <c r="S73" s="17"/>
      <c r="T73" s="17"/>
      <c r="U73" s="29"/>
      <c r="V73" s="17"/>
      <c r="W73" s="17"/>
      <c r="X73" s="17"/>
      <c r="Y73" s="17"/>
      <c r="Z73" s="17"/>
      <c r="AA73" s="20"/>
      <c r="AB73" s="17"/>
      <c r="AC73" s="17"/>
      <c r="AD73" s="17"/>
      <c r="AE73" s="17"/>
      <c r="AF73" s="17"/>
      <c r="AG73" s="17"/>
      <c r="AH73" s="29"/>
      <c r="AI73" s="17"/>
      <c r="AJ73" s="17"/>
      <c r="AK73" s="17"/>
      <c r="AL73" s="17"/>
      <c r="AM73" s="17"/>
    </row>
    <row r="74" spans="1:39" ht="12.75" customHeight="1">
      <c r="A74" s="20"/>
      <c r="B74" s="17"/>
      <c r="C74" s="17"/>
      <c r="D74" s="17"/>
      <c r="E74" s="17"/>
      <c r="F74" s="17"/>
      <c r="G74" s="17"/>
      <c r="H74" s="17"/>
      <c r="I74" s="17"/>
      <c r="J74" s="17"/>
      <c r="K74" s="17"/>
      <c r="L74" s="17"/>
      <c r="M74" s="17"/>
      <c r="N74" s="20"/>
      <c r="O74" s="17"/>
      <c r="P74" s="17"/>
      <c r="Q74" s="17"/>
      <c r="R74" s="17"/>
      <c r="S74" s="17"/>
      <c r="T74" s="17"/>
      <c r="U74" s="17"/>
      <c r="V74" s="17"/>
      <c r="W74" s="17"/>
      <c r="X74" s="17"/>
      <c r="Y74" s="17"/>
      <c r="Z74" s="17"/>
      <c r="AA74" s="20"/>
      <c r="AB74" s="17"/>
      <c r="AC74" s="17"/>
      <c r="AD74" s="17"/>
      <c r="AE74" s="17"/>
      <c r="AF74" s="17"/>
      <c r="AG74" s="17"/>
      <c r="AH74" s="17"/>
      <c r="AI74" s="17"/>
      <c r="AJ74" s="17"/>
      <c r="AK74" s="17"/>
      <c r="AL74" s="17"/>
      <c r="AM74" s="17"/>
    </row>
    <row r="75" spans="1:39" ht="12.75" customHeight="1">
      <c r="A75" s="20"/>
      <c r="B75" s="17"/>
      <c r="C75" s="17"/>
      <c r="D75" s="30"/>
      <c r="E75" s="17"/>
      <c r="F75" s="17"/>
      <c r="G75" s="18"/>
      <c r="H75" s="17"/>
      <c r="I75" s="17"/>
      <c r="J75" s="17"/>
      <c r="K75" s="17"/>
      <c r="L75" s="17"/>
      <c r="M75" s="17"/>
      <c r="N75" s="20"/>
      <c r="O75" s="17"/>
      <c r="P75" s="17"/>
      <c r="Q75" s="30"/>
      <c r="R75" s="17"/>
      <c r="S75" s="17"/>
      <c r="T75" s="18"/>
      <c r="U75" s="17"/>
      <c r="V75" s="17"/>
      <c r="W75" s="17"/>
      <c r="X75" s="17"/>
      <c r="Y75" s="17"/>
      <c r="Z75" s="17"/>
      <c r="AA75" s="20"/>
      <c r="AB75" s="17"/>
      <c r="AC75" s="17"/>
      <c r="AD75" s="30"/>
      <c r="AE75" s="17"/>
      <c r="AF75" s="17"/>
      <c r="AG75" s="18"/>
      <c r="AH75" s="17"/>
      <c r="AI75" s="17"/>
      <c r="AJ75" s="17"/>
      <c r="AK75" s="17"/>
      <c r="AL75" s="17"/>
      <c r="AM75" s="17"/>
    </row>
    <row r="76" spans="1:39" ht="12.75" customHeight="1">
      <c r="A76" s="20"/>
      <c r="B76" s="17"/>
      <c r="C76" s="17"/>
      <c r="D76" s="17"/>
      <c r="E76" s="17"/>
      <c r="F76" s="17"/>
      <c r="G76" s="17"/>
      <c r="H76" s="17"/>
      <c r="I76" s="17"/>
      <c r="J76" s="17"/>
      <c r="K76" s="17"/>
      <c r="L76" s="17"/>
      <c r="M76" s="17"/>
      <c r="N76" s="20"/>
      <c r="O76" s="17"/>
      <c r="P76" s="17"/>
      <c r="Q76" s="17"/>
      <c r="R76" s="17"/>
      <c r="S76" s="17"/>
      <c r="T76" s="17"/>
      <c r="U76" s="17"/>
      <c r="V76" s="17"/>
      <c r="W76" s="17"/>
      <c r="X76" s="17"/>
      <c r="Y76" s="17"/>
      <c r="Z76" s="17"/>
      <c r="AA76" s="20"/>
      <c r="AB76" s="17"/>
      <c r="AC76" s="17"/>
      <c r="AD76" s="17"/>
      <c r="AE76" s="17"/>
      <c r="AF76" s="17"/>
      <c r="AG76" s="17"/>
      <c r="AH76" s="17"/>
      <c r="AI76" s="17"/>
      <c r="AJ76" s="17"/>
      <c r="AK76" s="17"/>
      <c r="AL76" s="17"/>
      <c r="AM76" s="17"/>
    </row>
    <row r="77" spans="1:39" ht="12.75" customHeight="1">
      <c r="A77" s="20"/>
      <c r="B77" s="17"/>
      <c r="C77" s="17"/>
      <c r="D77" s="17"/>
      <c r="E77" s="17"/>
      <c r="F77" s="17"/>
      <c r="G77" s="17"/>
      <c r="H77" s="17"/>
      <c r="I77" s="17"/>
      <c r="J77" s="17"/>
      <c r="K77" s="17"/>
      <c r="L77" s="17"/>
      <c r="M77" s="17"/>
      <c r="N77" s="20"/>
      <c r="O77" s="17"/>
      <c r="P77" s="17"/>
      <c r="Q77" s="17"/>
      <c r="R77" s="17"/>
      <c r="S77" s="17"/>
      <c r="T77" s="17"/>
      <c r="U77" s="17"/>
      <c r="V77" s="17"/>
      <c r="W77" s="17"/>
      <c r="X77" s="17"/>
      <c r="Y77" s="17"/>
      <c r="Z77" s="17"/>
      <c r="AA77" s="20"/>
      <c r="AB77" s="17"/>
      <c r="AC77" s="17"/>
      <c r="AD77" s="17"/>
      <c r="AE77" s="17"/>
      <c r="AF77" s="17"/>
      <c r="AG77" s="17"/>
      <c r="AH77" s="17"/>
      <c r="AI77" s="17"/>
      <c r="AJ77" s="17"/>
      <c r="AK77" s="17"/>
      <c r="AL77" s="17"/>
      <c r="AM77" s="17"/>
    </row>
    <row r="78" spans="1:39" ht="12.75" customHeight="1">
      <c r="A78" s="20"/>
      <c r="B78" s="17"/>
      <c r="C78" s="17"/>
      <c r="D78" s="17"/>
      <c r="E78" s="17"/>
      <c r="F78" s="17"/>
      <c r="G78" s="17"/>
      <c r="H78" s="17"/>
      <c r="I78" s="17"/>
      <c r="J78" s="17"/>
      <c r="K78" s="17"/>
      <c r="L78" s="17"/>
      <c r="M78" s="17"/>
      <c r="N78" s="20"/>
      <c r="O78" s="17"/>
      <c r="P78" s="17"/>
      <c r="Q78" s="17"/>
      <c r="R78" s="17"/>
      <c r="S78" s="17"/>
      <c r="T78" s="17"/>
      <c r="U78" s="17"/>
      <c r="V78" s="17"/>
      <c r="W78" s="17"/>
      <c r="X78" s="17"/>
      <c r="Y78" s="17"/>
      <c r="Z78" s="17"/>
      <c r="AA78" s="20"/>
      <c r="AB78" s="17"/>
      <c r="AC78" s="17"/>
      <c r="AD78" s="17"/>
      <c r="AE78" s="17"/>
      <c r="AF78" s="17"/>
      <c r="AG78" s="17"/>
      <c r="AH78" s="17"/>
      <c r="AI78" s="17"/>
      <c r="AJ78" s="17"/>
      <c r="AK78" s="17"/>
      <c r="AL78" s="17"/>
      <c r="AM78" s="17"/>
    </row>
    <row r="79" spans="1:39" ht="12.75" customHeight="1">
      <c r="A79" s="20"/>
      <c r="B79" s="17"/>
      <c r="C79" s="17"/>
      <c r="D79" s="17"/>
      <c r="E79" s="17"/>
      <c r="F79" s="17"/>
      <c r="G79" s="17"/>
      <c r="H79" s="17"/>
      <c r="I79" s="17"/>
      <c r="J79" s="17"/>
      <c r="K79" s="17"/>
      <c r="L79" s="17"/>
      <c r="M79" s="17"/>
      <c r="N79" s="20"/>
      <c r="O79" s="17"/>
      <c r="P79" s="17"/>
      <c r="Q79" s="17"/>
      <c r="R79" s="17"/>
      <c r="S79" s="17"/>
      <c r="T79" s="17"/>
      <c r="U79" s="17"/>
      <c r="V79" s="17"/>
      <c r="W79" s="17"/>
      <c r="X79" s="17"/>
      <c r="Y79" s="17"/>
      <c r="Z79" s="17"/>
      <c r="AA79" s="20"/>
      <c r="AB79" s="17"/>
      <c r="AC79" s="17"/>
      <c r="AD79" s="17"/>
      <c r="AE79" s="17"/>
      <c r="AF79" s="17"/>
      <c r="AG79" s="17"/>
      <c r="AH79" s="17"/>
      <c r="AI79" s="17"/>
      <c r="AJ79" s="17"/>
      <c r="AK79" s="17"/>
      <c r="AL79" s="17"/>
      <c r="AM79" s="17"/>
    </row>
    <row r="80" spans="1:39" ht="12.75" customHeight="1">
      <c r="A80" s="20"/>
      <c r="B80" s="17"/>
      <c r="C80" s="17"/>
      <c r="D80" s="17"/>
      <c r="E80" s="17"/>
      <c r="F80" s="17"/>
      <c r="G80" s="17"/>
      <c r="H80" s="17"/>
      <c r="I80" s="17"/>
      <c r="J80" s="17"/>
      <c r="K80" s="17"/>
      <c r="L80" s="17"/>
      <c r="M80" s="17"/>
      <c r="N80" s="20"/>
      <c r="O80" s="17"/>
      <c r="P80" s="17"/>
      <c r="Q80" s="17"/>
      <c r="R80" s="17"/>
      <c r="S80" s="17"/>
      <c r="T80" s="17"/>
      <c r="U80" s="17"/>
      <c r="V80" s="17"/>
      <c r="W80" s="17"/>
      <c r="X80" s="17"/>
      <c r="Y80" s="17"/>
      <c r="Z80" s="17"/>
      <c r="AA80" s="20"/>
      <c r="AB80" s="17"/>
      <c r="AC80" s="17"/>
      <c r="AD80" s="17"/>
      <c r="AE80" s="17"/>
      <c r="AF80" s="17"/>
      <c r="AG80" s="17"/>
      <c r="AH80" s="17"/>
      <c r="AI80" s="17"/>
      <c r="AJ80" s="17"/>
      <c r="AK80" s="17"/>
      <c r="AL80" s="17"/>
      <c r="AM80" s="17"/>
    </row>
    <row r="81" spans="1:39" ht="12.75" customHeight="1">
      <c r="A81" s="20"/>
      <c r="B81" s="17"/>
      <c r="C81" s="17"/>
      <c r="D81" s="30"/>
      <c r="E81" s="17"/>
      <c r="F81" s="17"/>
      <c r="G81" s="18"/>
      <c r="H81" s="17"/>
      <c r="I81" s="17"/>
      <c r="J81" s="17"/>
      <c r="K81" s="17"/>
      <c r="L81" s="17"/>
      <c r="M81" s="17"/>
      <c r="N81" s="20"/>
      <c r="O81" s="17"/>
      <c r="P81" s="17"/>
      <c r="Q81" s="30"/>
      <c r="R81" s="17"/>
      <c r="S81" s="17"/>
      <c r="T81" s="18"/>
      <c r="U81" s="17"/>
      <c r="V81" s="17"/>
      <c r="W81" s="17"/>
      <c r="X81" s="17"/>
      <c r="Y81" s="17"/>
      <c r="Z81" s="17"/>
      <c r="AA81" s="20"/>
      <c r="AB81" s="17"/>
      <c r="AC81" s="17"/>
      <c r="AD81" s="30"/>
      <c r="AE81" s="17"/>
      <c r="AF81" s="17"/>
      <c r="AG81" s="18"/>
      <c r="AH81" s="17"/>
      <c r="AI81" s="17"/>
      <c r="AJ81" s="17"/>
      <c r="AK81" s="17"/>
      <c r="AL81" s="17"/>
      <c r="AM81" s="17"/>
    </row>
    <row r="82" spans="1:39" ht="12.75" customHeight="1">
      <c r="A82" s="20"/>
      <c r="B82" s="17"/>
      <c r="C82" s="17"/>
      <c r="D82" s="25"/>
      <c r="E82" s="17"/>
      <c r="F82" s="17"/>
      <c r="G82" s="18"/>
      <c r="H82" s="17"/>
      <c r="I82" s="17"/>
      <c r="J82" s="17"/>
      <c r="K82" s="17"/>
      <c r="L82" s="17"/>
      <c r="M82" s="17"/>
      <c r="N82" s="20"/>
      <c r="O82" s="17"/>
      <c r="P82" s="17"/>
      <c r="Q82" s="25"/>
      <c r="R82" s="17"/>
      <c r="S82" s="17"/>
      <c r="T82" s="18"/>
      <c r="U82" s="17"/>
      <c r="V82" s="17"/>
      <c r="W82" s="17"/>
      <c r="X82" s="17"/>
      <c r="Y82" s="17"/>
      <c r="Z82" s="17"/>
      <c r="AA82" s="20"/>
      <c r="AB82" s="17"/>
      <c r="AC82" s="17"/>
      <c r="AD82" s="25"/>
      <c r="AE82" s="17"/>
      <c r="AF82" s="17"/>
      <c r="AG82" s="18"/>
      <c r="AH82" s="17"/>
      <c r="AI82" s="17"/>
      <c r="AJ82" s="17"/>
      <c r="AK82" s="17"/>
      <c r="AL82" s="17"/>
      <c r="AM82" s="17"/>
    </row>
    <row r="83" spans="1:39" ht="12.75" customHeight="1">
      <c r="A83" s="20"/>
      <c r="B83" s="17"/>
      <c r="C83" s="17"/>
      <c r="D83" s="17"/>
      <c r="E83" s="17"/>
      <c r="F83" s="17"/>
      <c r="G83" s="18"/>
      <c r="H83" s="17"/>
      <c r="I83" s="17"/>
      <c r="J83" s="17"/>
      <c r="K83" s="17"/>
      <c r="L83" s="17"/>
      <c r="M83" s="17"/>
      <c r="N83" s="20"/>
      <c r="O83" s="17"/>
      <c r="P83" s="17"/>
      <c r="Q83" s="17"/>
      <c r="R83" s="17"/>
      <c r="S83" s="17"/>
      <c r="T83" s="18"/>
      <c r="U83" s="17"/>
      <c r="V83" s="17"/>
      <c r="W83" s="17"/>
      <c r="X83" s="17"/>
      <c r="Y83" s="17"/>
      <c r="Z83" s="17"/>
      <c r="AA83" s="20"/>
      <c r="AB83" s="17"/>
      <c r="AC83" s="17"/>
      <c r="AD83" s="17"/>
      <c r="AE83" s="17"/>
      <c r="AF83" s="17"/>
      <c r="AG83" s="18"/>
      <c r="AH83" s="17"/>
      <c r="AI83" s="17"/>
      <c r="AJ83" s="17"/>
      <c r="AK83" s="17"/>
      <c r="AL83" s="17"/>
      <c r="AM83" s="17"/>
    </row>
    <row r="84" spans="1:39" ht="12.75" customHeight="1">
      <c r="A84" s="20"/>
      <c r="B84" s="17"/>
      <c r="C84" s="17"/>
      <c r="D84" s="17"/>
      <c r="E84" s="17"/>
      <c r="F84" s="17"/>
      <c r="G84" s="17"/>
      <c r="H84" s="17"/>
      <c r="I84" s="17"/>
      <c r="J84" s="17"/>
      <c r="K84" s="17"/>
      <c r="L84" s="17"/>
      <c r="M84" s="17"/>
      <c r="N84" s="20"/>
      <c r="O84" s="17"/>
      <c r="P84" s="17"/>
      <c r="Q84" s="17"/>
      <c r="R84" s="17"/>
      <c r="S84" s="17"/>
      <c r="T84" s="17"/>
      <c r="U84" s="17"/>
      <c r="V84" s="17"/>
      <c r="W84" s="17"/>
      <c r="X84" s="17"/>
      <c r="Y84" s="17"/>
      <c r="Z84" s="17"/>
      <c r="AA84" s="20"/>
      <c r="AB84" s="17"/>
      <c r="AC84" s="17"/>
      <c r="AD84" s="17"/>
      <c r="AE84" s="17"/>
      <c r="AF84" s="17"/>
      <c r="AG84" s="17"/>
      <c r="AH84" s="17"/>
      <c r="AI84" s="17"/>
      <c r="AJ84" s="17"/>
      <c r="AK84" s="17"/>
      <c r="AL84" s="17"/>
      <c r="AM84" s="17"/>
    </row>
    <row r="85" spans="1:39" ht="12.75" customHeight="1">
      <c r="A85" s="20"/>
      <c r="B85" s="17"/>
      <c r="C85" s="17"/>
      <c r="D85" s="31"/>
      <c r="E85" s="12"/>
      <c r="F85" s="12"/>
      <c r="G85" s="12"/>
      <c r="H85" s="12"/>
      <c r="I85" s="17"/>
      <c r="J85" s="17"/>
      <c r="K85" s="17"/>
      <c r="L85" s="17"/>
      <c r="M85" s="17"/>
      <c r="N85" s="20"/>
      <c r="O85" s="17"/>
      <c r="P85" s="17"/>
      <c r="Q85" s="31"/>
      <c r="R85" s="12"/>
      <c r="S85" s="12"/>
      <c r="T85" s="12"/>
      <c r="U85" s="12"/>
      <c r="V85" s="17"/>
      <c r="W85" s="17"/>
      <c r="X85" s="17"/>
      <c r="Y85" s="17"/>
      <c r="Z85" s="17"/>
      <c r="AA85" s="20"/>
      <c r="AB85" s="17"/>
      <c r="AC85" s="17"/>
      <c r="AD85" s="31"/>
      <c r="AE85" s="12"/>
      <c r="AF85" s="12"/>
      <c r="AG85" s="12"/>
      <c r="AH85" s="12"/>
      <c r="AI85" s="17"/>
      <c r="AJ85" s="17"/>
      <c r="AK85" s="17"/>
      <c r="AL85" s="17"/>
      <c r="AM85" s="17"/>
    </row>
    <row r="86" spans="1:39" ht="12.75" customHeight="1">
      <c r="A86" s="20"/>
      <c r="B86" s="17"/>
      <c r="C86" s="17"/>
      <c r="D86" s="25"/>
      <c r="E86" s="17"/>
      <c r="F86" s="17"/>
      <c r="G86" s="22"/>
      <c r="H86" s="29"/>
      <c r="I86" s="18"/>
      <c r="J86" s="17"/>
      <c r="K86" s="12"/>
      <c r="L86" s="22"/>
      <c r="M86" s="22"/>
      <c r="N86" s="20"/>
      <c r="O86" s="17"/>
      <c r="P86" s="17"/>
      <c r="Q86" s="25"/>
      <c r="R86" s="17"/>
      <c r="S86" s="17"/>
      <c r="T86" s="22"/>
      <c r="U86" s="29"/>
      <c r="V86" s="18"/>
      <c r="W86" s="17"/>
      <c r="X86" s="12"/>
      <c r="Y86" s="22"/>
      <c r="Z86" s="22"/>
      <c r="AA86" s="20"/>
      <c r="AB86" s="17"/>
      <c r="AC86" s="17"/>
      <c r="AD86" s="25"/>
      <c r="AE86" s="17"/>
      <c r="AF86" s="17"/>
      <c r="AG86" s="22"/>
      <c r="AH86" s="29"/>
      <c r="AI86" s="18"/>
      <c r="AJ86" s="17"/>
      <c r="AK86" s="12"/>
      <c r="AL86" s="22"/>
      <c r="AM86" s="22"/>
    </row>
    <row r="87" spans="1:39" ht="12.75" customHeight="1">
      <c r="A87" s="20"/>
      <c r="B87" s="17"/>
      <c r="C87" s="17"/>
      <c r="D87" s="19"/>
      <c r="E87" s="17"/>
      <c r="F87" s="17"/>
      <c r="G87" s="21"/>
      <c r="H87" s="29"/>
      <c r="I87" s="18"/>
      <c r="J87" s="17"/>
      <c r="K87" s="17"/>
      <c r="L87" s="17"/>
      <c r="M87" s="17"/>
      <c r="N87" s="20"/>
      <c r="O87" s="17"/>
      <c r="P87" s="17"/>
      <c r="Q87" s="19"/>
      <c r="R87" s="17"/>
      <c r="S87" s="17"/>
      <c r="T87" s="21"/>
      <c r="U87" s="29"/>
      <c r="V87" s="18"/>
      <c r="W87" s="17"/>
      <c r="X87" s="17"/>
      <c r="Y87" s="17"/>
      <c r="Z87" s="17"/>
      <c r="AA87" s="20"/>
      <c r="AB87" s="17"/>
      <c r="AC87" s="17"/>
      <c r="AD87" s="19"/>
      <c r="AE87" s="17"/>
      <c r="AF87" s="17"/>
      <c r="AG87" s="21"/>
      <c r="AH87" s="29"/>
      <c r="AI87" s="18"/>
      <c r="AJ87" s="17"/>
      <c r="AK87" s="17"/>
      <c r="AL87" s="17"/>
      <c r="AM87" s="17"/>
    </row>
    <row r="88" spans="1:39" ht="12.75" customHeight="1">
      <c r="A88" s="20"/>
      <c r="B88" s="17"/>
      <c r="C88" s="17"/>
      <c r="D88" s="19"/>
      <c r="E88" s="17"/>
      <c r="F88" s="17"/>
      <c r="G88" s="21"/>
      <c r="H88" s="29"/>
      <c r="I88" s="18"/>
      <c r="J88" s="17"/>
      <c r="K88" s="17"/>
      <c r="L88" s="17"/>
      <c r="M88" s="17"/>
      <c r="N88" s="20"/>
      <c r="O88" s="17"/>
      <c r="P88" s="17"/>
      <c r="Q88" s="19"/>
      <c r="R88" s="17"/>
      <c r="S88" s="17"/>
      <c r="T88" s="21"/>
      <c r="U88" s="29"/>
      <c r="V88" s="18"/>
      <c r="W88" s="17"/>
      <c r="X88" s="17"/>
      <c r="Y88" s="17"/>
      <c r="Z88" s="17"/>
      <c r="AA88" s="20"/>
      <c r="AB88" s="17"/>
      <c r="AC88" s="17"/>
      <c r="AD88" s="19"/>
      <c r="AE88" s="17"/>
      <c r="AF88" s="17"/>
      <c r="AG88" s="21"/>
      <c r="AH88" s="29"/>
      <c r="AI88" s="18"/>
      <c r="AJ88" s="17"/>
      <c r="AK88" s="17"/>
      <c r="AL88" s="17"/>
      <c r="AM88" s="17"/>
    </row>
    <row r="89" spans="1:39" ht="12.75" customHeight="1">
      <c r="A89" s="20"/>
      <c r="B89" s="17"/>
      <c r="C89" s="17"/>
      <c r="D89" s="17"/>
      <c r="E89" s="17"/>
      <c r="F89" s="17"/>
      <c r="G89" s="22"/>
      <c r="H89" s="29"/>
      <c r="I89" s="12"/>
      <c r="J89" s="12"/>
      <c r="K89" s="17"/>
      <c r="L89" s="17"/>
      <c r="M89" s="17"/>
      <c r="N89" s="20"/>
      <c r="O89" s="17"/>
      <c r="P89" s="17"/>
      <c r="Q89" s="17"/>
      <c r="R89" s="17"/>
      <c r="S89" s="17"/>
      <c r="T89" s="22"/>
      <c r="U89" s="29"/>
      <c r="V89" s="12"/>
      <c r="W89" s="12"/>
      <c r="X89" s="17"/>
      <c r="Y89" s="17"/>
      <c r="Z89" s="17"/>
      <c r="AA89" s="20"/>
      <c r="AB89" s="17"/>
      <c r="AC89" s="17"/>
      <c r="AD89" s="17"/>
      <c r="AE89" s="17"/>
      <c r="AF89" s="17"/>
      <c r="AG89" s="22"/>
      <c r="AH89" s="29"/>
      <c r="AI89" s="12"/>
      <c r="AJ89" s="12"/>
      <c r="AK89" s="17"/>
      <c r="AL89" s="17"/>
      <c r="AM89" s="17"/>
    </row>
    <row r="90" spans="1:39" ht="12.75" customHeight="1">
      <c r="A90" s="20"/>
      <c r="B90" s="17"/>
      <c r="C90" s="17"/>
      <c r="D90" s="30"/>
      <c r="E90" s="17"/>
      <c r="F90" s="17"/>
      <c r="G90" s="18"/>
      <c r="H90" s="17"/>
      <c r="I90" s="17"/>
      <c r="J90" s="17"/>
      <c r="K90" s="17"/>
      <c r="L90" s="17"/>
      <c r="M90" s="17"/>
      <c r="N90" s="20"/>
      <c r="O90" s="17"/>
      <c r="P90" s="17"/>
      <c r="Q90" s="30"/>
      <c r="R90" s="17"/>
      <c r="S90" s="17"/>
      <c r="T90" s="18"/>
      <c r="U90" s="17"/>
      <c r="V90" s="17"/>
      <c r="W90" s="17"/>
      <c r="X90" s="17"/>
      <c r="Y90" s="17"/>
      <c r="Z90" s="17"/>
      <c r="AA90" s="20"/>
      <c r="AB90" s="17"/>
      <c r="AC90" s="17"/>
      <c r="AD90" s="30"/>
      <c r="AE90" s="17"/>
      <c r="AF90" s="17"/>
      <c r="AG90" s="18"/>
      <c r="AH90" s="17"/>
      <c r="AI90" s="17"/>
      <c r="AJ90" s="17"/>
      <c r="AK90" s="17"/>
      <c r="AL90" s="17"/>
      <c r="AM90" s="17"/>
    </row>
    <row r="91" spans="1:39" ht="12.75" customHeight="1">
      <c r="A91" s="20"/>
      <c r="B91" s="17"/>
      <c r="C91" s="17"/>
      <c r="D91" s="17"/>
      <c r="E91" s="17"/>
      <c r="F91" s="17"/>
      <c r="G91" s="18"/>
      <c r="H91" s="17"/>
      <c r="I91" s="17"/>
      <c r="J91" s="17"/>
      <c r="K91" s="17"/>
      <c r="L91" s="17"/>
      <c r="M91" s="17"/>
      <c r="N91" s="20"/>
      <c r="O91" s="17"/>
      <c r="P91" s="17"/>
      <c r="Q91" s="17"/>
      <c r="R91" s="17"/>
      <c r="S91" s="17"/>
      <c r="T91" s="18"/>
      <c r="U91" s="17"/>
      <c r="V91" s="17"/>
      <c r="W91" s="17"/>
      <c r="X91" s="17"/>
      <c r="Y91" s="17"/>
      <c r="Z91" s="17"/>
      <c r="AA91" s="20"/>
      <c r="AB91" s="17"/>
      <c r="AC91" s="17"/>
      <c r="AD91" s="17"/>
      <c r="AE91" s="17"/>
      <c r="AF91" s="17"/>
      <c r="AG91" s="18"/>
      <c r="AH91" s="17"/>
      <c r="AI91" s="17"/>
      <c r="AJ91" s="17"/>
      <c r="AK91" s="17"/>
      <c r="AL91" s="17"/>
      <c r="AM91" s="17"/>
    </row>
    <row r="92" spans="1:39" ht="12.75" customHeight="1">
      <c r="A92" s="20"/>
      <c r="B92" s="17"/>
      <c r="C92" s="17"/>
      <c r="D92" s="17"/>
      <c r="E92" s="17"/>
      <c r="F92" s="17"/>
      <c r="G92" s="32"/>
      <c r="H92" s="17"/>
      <c r="I92" s="17"/>
      <c r="J92" s="17"/>
      <c r="K92" s="17"/>
      <c r="L92" s="17"/>
      <c r="M92" s="17"/>
      <c r="N92" s="20"/>
      <c r="O92" s="17"/>
      <c r="P92" s="17"/>
      <c r="Q92" s="17"/>
      <c r="R92" s="17"/>
      <c r="S92" s="17"/>
      <c r="T92" s="32"/>
      <c r="U92" s="17"/>
      <c r="V92" s="17"/>
      <c r="W92" s="17"/>
      <c r="X92" s="17"/>
      <c r="Y92" s="17"/>
      <c r="Z92" s="17"/>
      <c r="AA92" s="20"/>
      <c r="AB92" s="17"/>
      <c r="AC92" s="17"/>
      <c r="AD92" s="17"/>
      <c r="AE92" s="17"/>
      <c r="AF92" s="17"/>
      <c r="AG92" s="32"/>
      <c r="AH92" s="17"/>
      <c r="AI92" s="17"/>
      <c r="AJ92" s="17"/>
      <c r="AK92" s="17"/>
      <c r="AL92" s="17"/>
      <c r="AM92" s="17"/>
    </row>
    <row r="93" spans="1:39" ht="12.75" customHeight="1">
      <c r="A93" s="20"/>
      <c r="B93" s="17"/>
      <c r="C93" s="17"/>
      <c r="D93" s="17"/>
      <c r="E93" s="17"/>
      <c r="F93" s="17"/>
      <c r="G93" s="18"/>
      <c r="H93" s="17"/>
      <c r="I93" s="17"/>
      <c r="J93" s="17"/>
      <c r="K93" s="17"/>
      <c r="L93" s="17"/>
      <c r="M93" s="17"/>
      <c r="N93" s="20"/>
      <c r="O93" s="17"/>
      <c r="P93" s="17"/>
      <c r="Q93" s="17"/>
      <c r="R93" s="17"/>
      <c r="S93" s="17"/>
      <c r="T93" s="18"/>
      <c r="U93" s="17"/>
      <c r="V93" s="17"/>
      <c r="W93" s="17"/>
      <c r="X93" s="17"/>
      <c r="Y93" s="17"/>
      <c r="Z93" s="17"/>
      <c r="AA93" s="20"/>
      <c r="AB93" s="17"/>
      <c r="AC93" s="17"/>
      <c r="AD93" s="17"/>
      <c r="AE93" s="17"/>
      <c r="AF93" s="17"/>
      <c r="AG93" s="18"/>
      <c r="AH93" s="17"/>
      <c r="AI93" s="17"/>
      <c r="AJ93" s="17"/>
      <c r="AK93" s="17"/>
      <c r="AL93" s="17"/>
      <c r="AM93" s="17"/>
    </row>
    <row r="94" spans="1:39" ht="12.75" customHeight="1">
      <c r="A94" s="20"/>
      <c r="B94" s="17"/>
      <c r="C94" s="17"/>
      <c r="D94" s="17"/>
      <c r="E94" s="17"/>
      <c r="F94" s="17"/>
      <c r="G94" s="17"/>
      <c r="H94" s="17"/>
      <c r="I94" s="17"/>
      <c r="J94" s="17"/>
      <c r="K94" s="17"/>
      <c r="L94" s="17"/>
      <c r="M94" s="17"/>
      <c r="N94" s="20"/>
      <c r="O94" s="17"/>
      <c r="P94" s="17"/>
      <c r="Q94" s="17"/>
      <c r="R94" s="17"/>
      <c r="S94" s="17"/>
      <c r="T94" s="17"/>
      <c r="U94" s="17"/>
      <c r="V94" s="17"/>
      <c r="W94" s="17"/>
      <c r="X94" s="17"/>
      <c r="Y94" s="17"/>
      <c r="Z94" s="17"/>
      <c r="AA94" s="20"/>
      <c r="AB94" s="17"/>
      <c r="AC94" s="17"/>
      <c r="AD94" s="17"/>
      <c r="AE94" s="17"/>
      <c r="AF94" s="17"/>
      <c r="AG94" s="17"/>
      <c r="AH94" s="17"/>
      <c r="AI94" s="17"/>
      <c r="AJ94" s="17"/>
      <c r="AK94" s="17"/>
      <c r="AL94" s="17"/>
      <c r="AM94" s="17"/>
    </row>
    <row r="95" spans="1:39" ht="12.75" customHeight="1">
      <c r="A95" s="20"/>
      <c r="B95" s="17"/>
      <c r="C95" s="17"/>
      <c r="D95" s="17"/>
      <c r="E95" s="17"/>
      <c r="F95" s="17"/>
      <c r="G95" s="17"/>
      <c r="H95" s="17"/>
      <c r="I95" s="17"/>
      <c r="J95" s="17"/>
      <c r="K95" s="17"/>
      <c r="L95" s="17"/>
      <c r="M95" s="17"/>
      <c r="N95" s="20"/>
      <c r="O95" s="17"/>
      <c r="P95" s="17"/>
      <c r="Q95" s="17"/>
      <c r="R95" s="17"/>
      <c r="S95" s="17"/>
      <c r="T95" s="17"/>
      <c r="U95" s="17"/>
      <c r="V95" s="17"/>
      <c r="W95" s="17"/>
      <c r="X95" s="17"/>
      <c r="Y95" s="17"/>
      <c r="Z95" s="17"/>
      <c r="AA95" s="20"/>
      <c r="AB95" s="17"/>
      <c r="AC95" s="17"/>
      <c r="AD95" s="17"/>
      <c r="AE95" s="17"/>
      <c r="AF95" s="17"/>
      <c r="AG95" s="17"/>
      <c r="AH95" s="17"/>
      <c r="AI95" s="17"/>
      <c r="AJ95" s="17"/>
      <c r="AK95" s="17"/>
      <c r="AL95" s="17"/>
      <c r="AM95" s="17"/>
    </row>
    <row r="96" spans="1:39" ht="12.75" customHeight="1">
      <c r="A96" s="20"/>
      <c r="B96" s="17"/>
      <c r="C96" s="17"/>
      <c r="D96" s="31"/>
      <c r="E96" s="17"/>
      <c r="F96" s="17"/>
      <c r="G96" s="17"/>
      <c r="H96" s="17"/>
      <c r="I96" s="17"/>
      <c r="J96" s="17"/>
      <c r="K96" s="22"/>
      <c r="L96" s="17"/>
      <c r="M96" s="17"/>
      <c r="N96" s="20"/>
      <c r="O96" s="17"/>
      <c r="P96" s="17"/>
      <c r="Q96" s="31"/>
      <c r="R96" s="17"/>
      <c r="S96" s="17"/>
      <c r="T96" s="17"/>
      <c r="U96" s="17"/>
      <c r="V96" s="17"/>
      <c r="W96" s="17"/>
      <c r="X96" s="22"/>
      <c r="Y96" s="17"/>
      <c r="Z96" s="17"/>
      <c r="AA96" s="20"/>
      <c r="AB96" s="17"/>
      <c r="AC96" s="17"/>
      <c r="AD96" s="31"/>
      <c r="AE96" s="17"/>
      <c r="AF96" s="17"/>
      <c r="AG96" s="17"/>
      <c r="AH96" s="17"/>
      <c r="AI96" s="17"/>
      <c r="AJ96" s="17"/>
      <c r="AK96" s="22"/>
      <c r="AL96" s="17"/>
      <c r="AM96" s="17"/>
    </row>
    <row r="97" spans="1:39" ht="12.75" customHeight="1">
      <c r="A97" s="20"/>
      <c r="B97" s="17"/>
      <c r="C97" s="17"/>
      <c r="D97" s="18"/>
      <c r="E97" s="17"/>
      <c r="F97" s="17"/>
      <c r="G97" s="17"/>
      <c r="H97" s="17"/>
      <c r="I97" s="17"/>
      <c r="J97" s="17"/>
      <c r="K97" s="17"/>
      <c r="L97" s="17"/>
      <c r="M97" s="17"/>
      <c r="N97" s="20"/>
      <c r="O97" s="17"/>
      <c r="P97" s="17"/>
      <c r="Q97" s="18"/>
      <c r="R97" s="17"/>
      <c r="S97" s="17"/>
      <c r="T97" s="17"/>
      <c r="U97" s="17"/>
      <c r="V97" s="17"/>
      <c r="W97" s="17"/>
      <c r="X97" s="17"/>
      <c r="Y97" s="17"/>
      <c r="Z97" s="17"/>
      <c r="AA97" s="20"/>
      <c r="AB97" s="17"/>
      <c r="AC97" s="17"/>
      <c r="AD97" s="18"/>
      <c r="AE97" s="17"/>
      <c r="AF97" s="17"/>
      <c r="AG97" s="17"/>
      <c r="AH97" s="17"/>
      <c r="AI97" s="17"/>
      <c r="AJ97" s="17"/>
      <c r="AK97" s="17"/>
      <c r="AL97" s="17"/>
      <c r="AM97" s="17"/>
    </row>
    <row r="98" spans="1:39" ht="12.75" customHeight="1">
      <c r="A98" s="20"/>
      <c r="B98" s="17"/>
      <c r="C98" s="17"/>
      <c r="D98" s="18"/>
      <c r="E98" s="17"/>
      <c r="F98" s="17"/>
      <c r="G98" s="17"/>
      <c r="H98" s="17"/>
      <c r="I98" s="17"/>
      <c r="J98" s="17"/>
      <c r="K98" s="17"/>
      <c r="L98" s="17"/>
      <c r="M98" s="17"/>
      <c r="N98" s="20"/>
      <c r="O98" s="17"/>
      <c r="P98" s="17"/>
      <c r="Q98" s="18"/>
      <c r="R98" s="17"/>
      <c r="S98" s="17"/>
      <c r="T98" s="17"/>
      <c r="U98" s="17"/>
      <c r="V98" s="17"/>
      <c r="W98" s="17"/>
      <c r="X98" s="17"/>
      <c r="Y98" s="17"/>
      <c r="Z98" s="17"/>
      <c r="AA98" s="20"/>
      <c r="AB98" s="17"/>
      <c r="AC98" s="17"/>
      <c r="AD98" s="18"/>
      <c r="AE98" s="17"/>
      <c r="AF98" s="17"/>
      <c r="AG98" s="17"/>
      <c r="AH98" s="17"/>
      <c r="AI98" s="17"/>
      <c r="AJ98" s="17"/>
      <c r="AK98" s="17"/>
      <c r="AL98" s="17"/>
      <c r="AM98" s="17"/>
    </row>
    <row r="99" spans="1:39" ht="12.75" customHeight="1">
      <c r="A99" s="20"/>
      <c r="B99" s="17"/>
      <c r="C99" s="17"/>
      <c r="D99" s="18"/>
      <c r="E99" s="17"/>
      <c r="F99" s="17"/>
      <c r="G99" s="17"/>
      <c r="H99" s="17"/>
      <c r="I99" s="17"/>
      <c r="J99" s="17"/>
      <c r="K99" s="17"/>
      <c r="L99" s="17"/>
      <c r="M99" s="17"/>
      <c r="N99" s="20"/>
      <c r="O99" s="17"/>
      <c r="P99" s="17"/>
      <c r="Q99" s="18"/>
      <c r="R99" s="17"/>
      <c r="S99" s="17"/>
      <c r="T99" s="17"/>
      <c r="U99" s="17"/>
      <c r="V99" s="17"/>
      <c r="W99" s="17"/>
      <c r="X99" s="17"/>
      <c r="Y99" s="17"/>
      <c r="Z99" s="17"/>
      <c r="AA99" s="20"/>
      <c r="AB99" s="17"/>
      <c r="AC99" s="17"/>
      <c r="AD99" s="18"/>
      <c r="AE99" s="17"/>
      <c r="AF99" s="17"/>
      <c r="AG99" s="17"/>
      <c r="AH99" s="17"/>
      <c r="AI99" s="17"/>
      <c r="AJ99" s="17"/>
      <c r="AK99" s="17"/>
      <c r="AL99" s="17"/>
      <c r="AM99" s="17"/>
    </row>
    <row r="100" spans="1:39" ht="12.75" customHeight="1">
      <c r="A100" s="20"/>
      <c r="B100" s="17"/>
      <c r="C100" s="17"/>
      <c r="D100" s="17"/>
      <c r="E100" s="17"/>
      <c r="F100" s="17"/>
      <c r="G100" s="17"/>
      <c r="H100" s="17"/>
      <c r="I100" s="17"/>
      <c r="J100" s="17"/>
      <c r="K100" s="17"/>
      <c r="L100" s="17"/>
      <c r="M100" s="17"/>
      <c r="N100" s="20"/>
      <c r="O100" s="17"/>
      <c r="P100" s="17"/>
      <c r="Q100" s="17"/>
      <c r="R100" s="17"/>
      <c r="S100" s="17"/>
      <c r="T100" s="17"/>
      <c r="U100" s="17"/>
      <c r="V100" s="17"/>
      <c r="W100" s="17"/>
      <c r="X100" s="17"/>
      <c r="Y100" s="17"/>
      <c r="Z100" s="17"/>
      <c r="AA100" s="20"/>
      <c r="AB100" s="17"/>
      <c r="AC100" s="17"/>
      <c r="AD100" s="17"/>
      <c r="AE100" s="17"/>
      <c r="AF100" s="17"/>
      <c r="AG100" s="17"/>
      <c r="AH100" s="17"/>
      <c r="AI100" s="17"/>
      <c r="AJ100" s="17"/>
      <c r="AK100" s="17"/>
      <c r="AL100" s="17"/>
      <c r="AM100" s="17"/>
    </row>
    <row r="101" spans="1:39" ht="12.75" customHeight="1">
      <c r="A101" s="20"/>
      <c r="B101" s="17"/>
      <c r="C101" s="17"/>
      <c r="D101" s="17"/>
      <c r="E101" s="17"/>
      <c r="F101" s="17"/>
      <c r="G101" s="18"/>
      <c r="H101" s="17"/>
      <c r="I101" s="17"/>
      <c r="J101" s="17"/>
      <c r="K101" s="17"/>
      <c r="L101" s="17"/>
      <c r="M101" s="17"/>
      <c r="N101" s="20"/>
      <c r="O101" s="17"/>
      <c r="P101" s="17"/>
      <c r="Q101" s="17"/>
      <c r="R101" s="17"/>
      <c r="S101" s="17"/>
      <c r="T101" s="18"/>
      <c r="U101" s="17"/>
      <c r="V101" s="17"/>
      <c r="W101" s="17"/>
      <c r="X101" s="17"/>
      <c r="Y101" s="17"/>
      <c r="Z101" s="17"/>
      <c r="AA101" s="20"/>
      <c r="AB101" s="17"/>
      <c r="AC101" s="17"/>
      <c r="AD101" s="17"/>
      <c r="AE101" s="17"/>
      <c r="AF101" s="17"/>
      <c r="AG101" s="18"/>
      <c r="AH101" s="17"/>
      <c r="AI101" s="17"/>
      <c r="AJ101" s="17"/>
      <c r="AK101" s="17"/>
      <c r="AL101" s="17"/>
      <c r="AM101" s="17"/>
    </row>
    <row r="102" spans="1:39" ht="12.75" customHeight="1">
      <c r="A102" s="20"/>
      <c r="B102" s="17"/>
      <c r="C102" s="17"/>
      <c r="D102" s="31"/>
      <c r="E102" s="25"/>
      <c r="F102" s="25"/>
      <c r="G102" s="25"/>
      <c r="H102" s="25"/>
      <c r="I102" s="17"/>
      <c r="J102" s="17"/>
      <c r="K102" s="17"/>
      <c r="L102" s="17"/>
      <c r="M102" s="17"/>
      <c r="N102" s="20"/>
      <c r="O102" s="17"/>
      <c r="P102" s="17"/>
      <c r="Q102" s="31"/>
      <c r="R102" s="25"/>
      <c r="S102" s="25"/>
      <c r="T102" s="25"/>
      <c r="U102" s="25"/>
      <c r="V102" s="17"/>
      <c r="W102" s="17"/>
      <c r="X102" s="17"/>
      <c r="Y102" s="17"/>
      <c r="Z102" s="17"/>
      <c r="AA102" s="20"/>
      <c r="AB102" s="17"/>
      <c r="AC102" s="17"/>
      <c r="AD102" s="31"/>
      <c r="AE102" s="25"/>
      <c r="AF102" s="25"/>
      <c r="AG102" s="25"/>
      <c r="AH102" s="25"/>
      <c r="AI102" s="17"/>
      <c r="AJ102" s="17"/>
      <c r="AK102" s="17"/>
      <c r="AL102" s="17"/>
      <c r="AM102" s="17"/>
    </row>
    <row r="103" spans="1:39" ht="12.75" customHeight="1">
      <c r="A103" s="20"/>
      <c r="B103" s="17"/>
      <c r="C103" s="17"/>
      <c r="D103" s="17"/>
      <c r="E103" s="17"/>
      <c r="F103" s="17"/>
      <c r="G103" s="17"/>
      <c r="H103" s="17"/>
      <c r="I103" s="25"/>
      <c r="J103" s="25"/>
      <c r="K103" s="17"/>
      <c r="L103" s="17"/>
      <c r="M103" s="17"/>
      <c r="N103" s="20"/>
      <c r="O103" s="17"/>
      <c r="P103" s="17"/>
      <c r="Q103" s="17"/>
      <c r="R103" s="17"/>
      <c r="S103" s="17"/>
      <c r="T103" s="17"/>
      <c r="U103" s="17"/>
      <c r="V103" s="25"/>
      <c r="W103" s="25"/>
      <c r="X103" s="17"/>
      <c r="Y103" s="17"/>
      <c r="Z103" s="17"/>
      <c r="AA103" s="20"/>
      <c r="AB103" s="17"/>
      <c r="AC103" s="17"/>
      <c r="AD103" s="17"/>
      <c r="AE103" s="17"/>
      <c r="AF103" s="17"/>
      <c r="AG103" s="17"/>
      <c r="AH103" s="17"/>
      <c r="AI103" s="25"/>
      <c r="AJ103" s="25"/>
      <c r="AK103" s="17"/>
      <c r="AL103" s="17"/>
      <c r="AM103" s="17"/>
    </row>
    <row r="104" spans="1:39" ht="12.75" customHeight="1">
      <c r="A104" s="20"/>
      <c r="B104" s="17"/>
      <c r="C104" s="17"/>
      <c r="D104" s="17"/>
      <c r="E104" s="17"/>
      <c r="F104" s="17"/>
      <c r="G104" s="17"/>
      <c r="H104" s="17"/>
      <c r="I104" s="17"/>
      <c r="J104" s="17"/>
      <c r="K104" s="17"/>
      <c r="L104" s="17"/>
      <c r="M104" s="17"/>
      <c r="N104" s="20"/>
      <c r="O104" s="17"/>
      <c r="P104" s="17"/>
      <c r="Q104" s="17"/>
      <c r="R104" s="17"/>
      <c r="S104" s="17"/>
      <c r="T104" s="17"/>
      <c r="U104" s="17"/>
      <c r="V104" s="17"/>
      <c r="W104" s="17"/>
      <c r="X104" s="17"/>
      <c r="Y104" s="17"/>
      <c r="Z104" s="17"/>
      <c r="AA104" s="20"/>
      <c r="AB104" s="17"/>
      <c r="AC104" s="17"/>
      <c r="AD104" s="17"/>
      <c r="AE104" s="17"/>
      <c r="AF104" s="17"/>
      <c r="AG104" s="17"/>
      <c r="AH104" s="17"/>
      <c r="AI104" s="17"/>
      <c r="AJ104" s="17"/>
      <c r="AK104" s="17"/>
      <c r="AL104" s="17"/>
      <c r="AM104" s="17"/>
    </row>
    <row r="105" spans="1:39" ht="12.75" customHeight="1">
      <c r="A105" s="20"/>
      <c r="B105" s="17"/>
      <c r="C105" s="17"/>
      <c r="D105" s="17"/>
      <c r="E105" s="17"/>
      <c r="F105" s="17"/>
      <c r="G105" s="17"/>
      <c r="H105" s="12"/>
      <c r="I105" s="17"/>
      <c r="J105" s="17"/>
      <c r="K105" s="17"/>
      <c r="L105" s="17"/>
      <c r="M105" s="17"/>
      <c r="N105" s="20"/>
      <c r="O105" s="17"/>
      <c r="P105" s="17"/>
      <c r="Q105" s="17"/>
      <c r="R105" s="17"/>
      <c r="S105" s="17"/>
      <c r="T105" s="17"/>
      <c r="U105" s="12"/>
      <c r="V105" s="17"/>
      <c r="W105" s="17"/>
      <c r="X105" s="17"/>
      <c r="Y105" s="17"/>
      <c r="Z105" s="17"/>
      <c r="AA105" s="20"/>
      <c r="AB105" s="17"/>
      <c r="AC105" s="17"/>
      <c r="AD105" s="17"/>
      <c r="AE105" s="17"/>
      <c r="AF105" s="17"/>
      <c r="AG105" s="17"/>
      <c r="AH105" s="12"/>
      <c r="AI105" s="17"/>
      <c r="AJ105" s="17"/>
      <c r="AK105" s="17"/>
      <c r="AL105" s="17"/>
      <c r="AM105" s="17"/>
    </row>
    <row r="106" spans="1:39" ht="12.75" customHeight="1">
      <c r="A106" s="20"/>
      <c r="B106" s="17"/>
      <c r="C106" s="17"/>
      <c r="D106" s="31"/>
      <c r="E106" s="25"/>
      <c r="F106" s="25"/>
      <c r="G106" s="25"/>
      <c r="H106" s="25"/>
      <c r="I106" s="17"/>
      <c r="J106" s="17"/>
      <c r="K106" s="17"/>
      <c r="L106" s="17"/>
      <c r="M106" s="17"/>
      <c r="N106" s="20"/>
      <c r="O106" s="17"/>
      <c r="P106" s="17"/>
      <c r="Q106" s="31"/>
      <c r="R106" s="25"/>
      <c r="S106" s="25"/>
      <c r="T106" s="25"/>
      <c r="U106" s="25"/>
      <c r="V106" s="17"/>
      <c r="W106" s="17"/>
      <c r="X106" s="17"/>
      <c r="Y106" s="17"/>
      <c r="Z106" s="17"/>
      <c r="AA106" s="20"/>
      <c r="AB106" s="17"/>
      <c r="AC106" s="17"/>
      <c r="AD106" s="31"/>
      <c r="AE106" s="25"/>
      <c r="AF106" s="25"/>
      <c r="AG106" s="25"/>
      <c r="AH106" s="25"/>
      <c r="AI106" s="17"/>
      <c r="AJ106" s="17"/>
      <c r="AK106" s="17"/>
      <c r="AL106" s="17"/>
      <c r="AM106" s="17"/>
    </row>
    <row r="107" spans="1:39" ht="12.75" customHeight="1">
      <c r="A107" s="20"/>
      <c r="B107" s="17"/>
      <c r="C107" s="17"/>
      <c r="D107" s="17"/>
      <c r="E107" s="22"/>
      <c r="F107" s="17"/>
      <c r="G107" s="17"/>
      <c r="H107" s="17"/>
      <c r="I107" s="17"/>
      <c r="J107" s="17"/>
      <c r="K107" s="17"/>
      <c r="L107" s="17"/>
      <c r="M107" s="17"/>
      <c r="N107" s="20"/>
      <c r="O107" s="17"/>
      <c r="P107" s="17"/>
      <c r="Q107" s="17"/>
      <c r="R107" s="22"/>
      <c r="S107" s="17"/>
      <c r="T107" s="17"/>
      <c r="U107" s="17"/>
      <c r="V107" s="17"/>
      <c r="W107" s="17"/>
      <c r="X107" s="17"/>
      <c r="Y107" s="17"/>
      <c r="Z107" s="17"/>
      <c r="AA107" s="20"/>
      <c r="AB107" s="17"/>
      <c r="AC107" s="17"/>
      <c r="AD107" s="17"/>
      <c r="AE107" s="22"/>
      <c r="AF107" s="17"/>
      <c r="AG107" s="17"/>
      <c r="AH107" s="17"/>
      <c r="AI107" s="17"/>
      <c r="AJ107" s="17"/>
      <c r="AK107" s="17"/>
      <c r="AL107" s="17"/>
      <c r="AM107" s="17"/>
    </row>
    <row r="108" spans="1:39" ht="12.75" customHeight="1">
      <c r="A108" s="20"/>
      <c r="B108" s="17"/>
      <c r="C108" s="17"/>
      <c r="D108" s="17"/>
      <c r="E108" s="17"/>
      <c r="F108" s="17"/>
      <c r="G108" s="18"/>
      <c r="H108" s="17"/>
      <c r="I108" s="17"/>
      <c r="J108" s="17"/>
      <c r="K108" s="17"/>
      <c r="L108" s="17"/>
      <c r="M108" s="17"/>
      <c r="N108" s="20"/>
      <c r="O108" s="17"/>
      <c r="P108" s="17"/>
      <c r="Q108" s="17"/>
      <c r="R108" s="17"/>
      <c r="S108" s="17"/>
      <c r="T108" s="18"/>
      <c r="U108" s="17"/>
      <c r="V108" s="17"/>
      <c r="W108" s="17"/>
      <c r="X108" s="17"/>
      <c r="Y108" s="17"/>
      <c r="Z108" s="17"/>
      <c r="AA108" s="20"/>
      <c r="AB108" s="17"/>
      <c r="AC108" s="17"/>
      <c r="AD108" s="17"/>
      <c r="AE108" s="17"/>
      <c r="AF108" s="17"/>
      <c r="AG108" s="18"/>
      <c r="AH108" s="17"/>
      <c r="AI108" s="17"/>
      <c r="AJ108" s="17"/>
      <c r="AK108" s="17"/>
      <c r="AL108" s="17"/>
      <c r="AM108" s="17"/>
    </row>
    <row r="109" spans="1:39" ht="12.75" customHeight="1">
      <c r="A109" s="20"/>
      <c r="B109" s="17"/>
      <c r="C109" s="17"/>
      <c r="D109" s="31"/>
      <c r="E109" s="31"/>
      <c r="F109" s="31"/>
      <c r="G109" s="31"/>
      <c r="H109" s="31"/>
      <c r="I109" s="17"/>
      <c r="J109" s="17"/>
      <c r="K109" s="17"/>
      <c r="L109" s="17"/>
      <c r="M109" s="17"/>
      <c r="N109" s="20"/>
      <c r="O109" s="17"/>
      <c r="P109" s="17"/>
      <c r="Q109" s="31"/>
      <c r="R109" s="31"/>
      <c r="S109" s="31"/>
      <c r="T109" s="31"/>
      <c r="U109" s="31"/>
      <c r="V109" s="17"/>
      <c r="W109" s="17"/>
      <c r="X109" s="17"/>
      <c r="Y109" s="17"/>
      <c r="Z109" s="17"/>
      <c r="AA109" s="20"/>
      <c r="AB109" s="17"/>
      <c r="AC109" s="17"/>
      <c r="AD109" s="31"/>
      <c r="AE109" s="31"/>
      <c r="AF109" s="31"/>
      <c r="AG109" s="31"/>
      <c r="AH109" s="31"/>
      <c r="AI109" s="17"/>
      <c r="AJ109" s="17"/>
      <c r="AK109" s="17"/>
      <c r="AL109" s="17"/>
      <c r="AM109" s="17"/>
    </row>
    <row r="110" spans="1:39" ht="12.75" customHeight="1">
      <c r="A110" s="20"/>
      <c r="B110" s="17"/>
      <c r="C110" s="17"/>
      <c r="D110" s="17"/>
      <c r="E110" s="17"/>
      <c r="F110" s="17"/>
      <c r="G110" s="17"/>
      <c r="H110" s="17"/>
      <c r="I110" s="17"/>
      <c r="J110" s="17"/>
      <c r="K110" s="17"/>
      <c r="L110" s="17"/>
      <c r="M110" s="17"/>
      <c r="N110" s="20"/>
      <c r="O110" s="17"/>
      <c r="P110" s="17"/>
      <c r="Q110" s="17"/>
      <c r="R110" s="17"/>
      <c r="S110" s="17"/>
      <c r="T110" s="17"/>
      <c r="U110" s="17"/>
      <c r="V110" s="17"/>
      <c r="W110" s="17"/>
      <c r="X110" s="17"/>
      <c r="Y110" s="17"/>
      <c r="Z110" s="17"/>
      <c r="AA110" s="20"/>
      <c r="AB110" s="17"/>
      <c r="AC110" s="17"/>
      <c r="AD110" s="17"/>
      <c r="AE110" s="17"/>
      <c r="AF110" s="17"/>
      <c r="AG110" s="17"/>
      <c r="AH110" s="17"/>
      <c r="AI110" s="17"/>
      <c r="AJ110" s="17"/>
      <c r="AK110" s="17"/>
      <c r="AL110" s="17"/>
      <c r="AM110" s="17"/>
    </row>
    <row r="111" spans="1:39" ht="12.75" customHeight="1">
      <c r="A111" s="20"/>
      <c r="B111" s="17"/>
      <c r="C111" s="17"/>
      <c r="D111" s="17"/>
      <c r="E111" s="17"/>
      <c r="F111" s="17"/>
      <c r="G111" s="17"/>
      <c r="H111" s="17"/>
      <c r="I111" s="17"/>
      <c r="J111" s="17"/>
      <c r="K111" s="17"/>
      <c r="L111" s="17"/>
      <c r="M111" s="17"/>
      <c r="N111" s="20"/>
      <c r="O111" s="17"/>
      <c r="P111" s="17"/>
      <c r="Q111" s="17"/>
      <c r="R111" s="17"/>
      <c r="S111" s="17"/>
      <c r="T111" s="17"/>
      <c r="U111" s="17"/>
      <c r="V111" s="17"/>
      <c r="W111" s="17"/>
      <c r="X111" s="17"/>
      <c r="Y111" s="17"/>
      <c r="Z111" s="17"/>
      <c r="AA111" s="20"/>
      <c r="AB111" s="17"/>
      <c r="AC111" s="17"/>
      <c r="AD111" s="17"/>
      <c r="AE111" s="17"/>
      <c r="AF111" s="17"/>
      <c r="AG111" s="17"/>
      <c r="AH111" s="17"/>
      <c r="AI111" s="17"/>
      <c r="AJ111" s="17"/>
      <c r="AK111" s="17"/>
      <c r="AL111" s="17"/>
      <c r="AM111" s="17"/>
    </row>
    <row r="112" spans="1:39" ht="12.75" customHeight="1">
      <c r="A112" s="20"/>
      <c r="B112" s="17"/>
      <c r="C112" s="17"/>
      <c r="D112" s="17"/>
      <c r="E112" s="17"/>
      <c r="F112" s="17"/>
      <c r="G112" s="17"/>
      <c r="H112" s="17"/>
      <c r="I112" s="17"/>
      <c r="J112" s="17"/>
      <c r="K112" s="17"/>
      <c r="L112" s="17"/>
      <c r="M112" s="17"/>
      <c r="N112" s="20"/>
      <c r="O112" s="17"/>
      <c r="P112" s="17"/>
      <c r="Q112" s="17"/>
      <c r="R112" s="17"/>
      <c r="S112" s="17"/>
      <c r="T112" s="17"/>
      <c r="U112" s="17"/>
      <c r="V112" s="17"/>
      <c r="W112" s="17"/>
      <c r="X112" s="17"/>
      <c r="Y112" s="17"/>
      <c r="Z112" s="17"/>
      <c r="AA112" s="20"/>
      <c r="AB112" s="17"/>
      <c r="AC112" s="17"/>
      <c r="AD112" s="17"/>
      <c r="AE112" s="17"/>
      <c r="AF112" s="17"/>
      <c r="AG112" s="17"/>
      <c r="AH112" s="17"/>
      <c r="AI112" s="17"/>
      <c r="AJ112" s="17"/>
      <c r="AK112" s="17"/>
      <c r="AL112" s="17"/>
      <c r="AM112" s="17"/>
    </row>
    <row r="113" spans="1:39" ht="12.75" customHeight="1">
      <c r="A113" s="20"/>
      <c r="B113" s="17"/>
      <c r="C113" s="17"/>
      <c r="D113" s="17"/>
      <c r="E113" s="17"/>
      <c r="F113" s="17"/>
      <c r="G113" s="17"/>
      <c r="H113" s="17"/>
      <c r="I113" s="17"/>
      <c r="J113" s="17"/>
      <c r="K113" s="17"/>
      <c r="L113" s="17"/>
      <c r="M113" s="17"/>
      <c r="N113" s="20"/>
      <c r="O113" s="17"/>
      <c r="P113" s="17"/>
      <c r="Q113" s="17"/>
      <c r="R113" s="17"/>
      <c r="S113" s="17"/>
      <c r="T113" s="17"/>
      <c r="U113" s="17"/>
      <c r="V113" s="17"/>
      <c r="W113" s="17"/>
      <c r="X113" s="17"/>
      <c r="Y113" s="17"/>
      <c r="Z113" s="17"/>
      <c r="AA113" s="20"/>
      <c r="AB113" s="17"/>
      <c r="AC113" s="17"/>
      <c r="AD113" s="17"/>
      <c r="AE113" s="17"/>
      <c r="AF113" s="17"/>
      <c r="AG113" s="17"/>
      <c r="AH113" s="17"/>
      <c r="AI113" s="17"/>
      <c r="AJ113" s="17"/>
      <c r="AK113" s="17"/>
      <c r="AL113" s="17"/>
      <c r="AM113" s="17"/>
    </row>
    <row r="114" spans="1:39" ht="12.75" customHeight="1">
      <c r="A114" s="20"/>
      <c r="B114" s="17"/>
      <c r="C114" s="17"/>
      <c r="D114" s="31"/>
      <c r="E114" s="31"/>
      <c r="F114" s="31"/>
      <c r="G114" s="31"/>
      <c r="H114" s="31"/>
      <c r="I114" s="31"/>
      <c r="J114" s="17"/>
      <c r="K114" s="17"/>
      <c r="L114" s="17"/>
      <c r="M114" s="17"/>
      <c r="N114" s="20"/>
      <c r="O114" s="17"/>
      <c r="P114" s="17"/>
      <c r="Q114" s="31"/>
      <c r="R114" s="31"/>
      <c r="S114" s="31"/>
      <c r="T114" s="31"/>
      <c r="U114" s="31"/>
      <c r="V114" s="31"/>
      <c r="W114" s="17"/>
      <c r="X114" s="17"/>
      <c r="Y114" s="17"/>
      <c r="Z114" s="17"/>
      <c r="AA114" s="20"/>
      <c r="AB114" s="17"/>
      <c r="AC114" s="17"/>
      <c r="AD114" s="31"/>
      <c r="AE114" s="31"/>
      <c r="AF114" s="31"/>
      <c r="AG114" s="31"/>
      <c r="AH114" s="31"/>
      <c r="AI114" s="31"/>
      <c r="AJ114" s="17"/>
      <c r="AK114" s="17"/>
      <c r="AL114" s="17"/>
      <c r="AM114" s="17"/>
    </row>
    <row r="115" spans="1:39" ht="12.75" customHeight="1">
      <c r="A115" s="20"/>
      <c r="B115" s="17"/>
      <c r="C115" s="17"/>
      <c r="D115" s="17"/>
      <c r="E115" s="17"/>
      <c r="F115" s="17"/>
      <c r="G115" s="17"/>
      <c r="H115" s="17"/>
      <c r="I115" s="17"/>
      <c r="J115" s="17"/>
      <c r="K115" s="17"/>
      <c r="L115" s="17"/>
      <c r="M115" s="17"/>
      <c r="N115" s="20"/>
      <c r="O115" s="17"/>
      <c r="P115" s="17"/>
      <c r="Q115" s="17"/>
      <c r="R115" s="17"/>
      <c r="S115" s="17"/>
      <c r="T115" s="17"/>
      <c r="U115" s="17"/>
      <c r="V115" s="17"/>
      <c r="W115" s="17"/>
      <c r="X115" s="17"/>
      <c r="Y115" s="17"/>
      <c r="Z115" s="17"/>
      <c r="AA115" s="20"/>
      <c r="AB115" s="17"/>
      <c r="AC115" s="17"/>
      <c r="AD115" s="17"/>
      <c r="AE115" s="17"/>
      <c r="AF115" s="17"/>
      <c r="AG115" s="17"/>
      <c r="AH115" s="17"/>
      <c r="AI115" s="17"/>
      <c r="AJ115" s="17"/>
      <c r="AK115" s="17"/>
      <c r="AL115" s="17"/>
      <c r="AM115" s="17"/>
    </row>
    <row r="116" spans="1:39" ht="12.75" customHeight="1">
      <c r="A116" s="20"/>
      <c r="B116" s="17"/>
      <c r="C116" s="17"/>
      <c r="D116" s="17"/>
      <c r="E116" s="17"/>
      <c r="F116" s="17"/>
      <c r="G116" s="17"/>
      <c r="H116" s="17"/>
      <c r="I116" s="17"/>
      <c r="J116" s="17"/>
      <c r="K116" s="17"/>
      <c r="L116" s="17"/>
      <c r="M116" s="17"/>
      <c r="N116" s="20"/>
      <c r="O116" s="17"/>
      <c r="P116" s="17"/>
      <c r="Q116" s="17"/>
      <c r="R116" s="17"/>
      <c r="S116" s="17"/>
      <c r="T116" s="17"/>
      <c r="U116" s="17"/>
      <c r="V116" s="17"/>
      <c r="W116" s="17"/>
      <c r="X116" s="17"/>
      <c r="Y116" s="17"/>
      <c r="Z116" s="17"/>
      <c r="AA116" s="20"/>
      <c r="AB116" s="17"/>
      <c r="AC116" s="17"/>
      <c r="AD116" s="17"/>
      <c r="AE116" s="17"/>
      <c r="AF116" s="17"/>
      <c r="AG116" s="17"/>
      <c r="AH116" s="17"/>
      <c r="AI116" s="17"/>
      <c r="AJ116" s="17"/>
      <c r="AK116" s="17"/>
      <c r="AL116" s="17"/>
      <c r="AM116" s="17"/>
    </row>
    <row r="117" spans="1:39" ht="12.75" customHeight="1">
      <c r="A117" s="20"/>
      <c r="B117" s="17"/>
      <c r="C117" s="17"/>
      <c r="D117" s="17"/>
      <c r="E117" s="17"/>
      <c r="F117" s="17"/>
      <c r="G117" s="17"/>
      <c r="H117" s="17"/>
      <c r="I117" s="17"/>
      <c r="J117" s="17"/>
      <c r="K117" s="17"/>
      <c r="L117" s="17"/>
      <c r="M117" s="17"/>
      <c r="N117" s="20"/>
      <c r="O117" s="17"/>
      <c r="P117" s="17"/>
      <c r="Q117" s="17"/>
      <c r="R117" s="17"/>
      <c r="S117" s="17"/>
      <c r="T117" s="17"/>
      <c r="U117" s="17"/>
      <c r="V117" s="17"/>
      <c r="W117" s="17"/>
      <c r="X117" s="17"/>
      <c r="Y117" s="17"/>
      <c r="Z117" s="17"/>
      <c r="AA117" s="20"/>
      <c r="AB117" s="17"/>
      <c r="AC117" s="17"/>
      <c r="AD117" s="17"/>
      <c r="AE117" s="17"/>
      <c r="AF117" s="17"/>
      <c r="AG117" s="17"/>
      <c r="AH117" s="17"/>
      <c r="AI117" s="17"/>
      <c r="AJ117" s="17"/>
      <c r="AK117" s="17"/>
      <c r="AL117" s="17"/>
      <c r="AM117" s="17"/>
    </row>
    <row r="118" spans="1:39" ht="12.75" customHeight="1">
      <c r="A118" s="20"/>
      <c r="B118" s="17"/>
      <c r="C118" s="17"/>
      <c r="D118" s="17"/>
      <c r="E118" s="17"/>
      <c r="F118" s="17"/>
      <c r="G118" s="17"/>
      <c r="H118" s="17"/>
      <c r="I118" s="17"/>
      <c r="J118" s="17"/>
      <c r="K118" s="17"/>
      <c r="L118" s="17"/>
      <c r="M118" s="17"/>
      <c r="N118" s="20"/>
      <c r="O118" s="17"/>
      <c r="P118" s="17"/>
      <c r="Q118" s="17"/>
      <c r="R118" s="17"/>
      <c r="S118" s="17"/>
      <c r="T118" s="17"/>
      <c r="U118" s="17"/>
      <c r="V118" s="17"/>
      <c r="W118" s="17"/>
      <c r="X118" s="17"/>
      <c r="Y118" s="17"/>
      <c r="Z118" s="17"/>
      <c r="AA118" s="20"/>
      <c r="AB118" s="17"/>
      <c r="AC118" s="17"/>
      <c r="AD118" s="17"/>
      <c r="AE118" s="17"/>
      <c r="AF118" s="17"/>
      <c r="AG118" s="17"/>
      <c r="AH118" s="17"/>
      <c r="AI118" s="17"/>
      <c r="AJ118" s="17"/>
      <c r="AK118" s="17"/>
      <c r="AL118" s="17"/>
      <c r="AM118" s="17"/>
    </row>
    <row r="119" spans="1:39" ht="12.75" customHeight="1">
      <c r="A119" s="20"/>
      <c r="B119" s="17"/>
      <c r="C119" s="17"/>
      <c r="D119" s="31"/>
      <c r="E119" s="31"/>
      <c r="F119" s="31"/>
      <c r="G119" s="31"/>
      <c r="H119" s="31"/>
      <c r="I119" s="31"/>
      <c r="J119" s="17"/>
      <c r="K119" s="17"/>
      <c r="L119" s="17"/>
      <c r="M119" s="17"/>
      <c r="N119" s="20"/>
      <c r="O119" s="17"/>
      <c r="P119" s="17"/>
      <c r="Q119" s="31"/>
      <c r="R119" s="31"/>
      <c r="S119" s="31"/>
      <c r="T119" s="31"/>
      <c r="U119" s="31"/>
      <c r="V119" s="31"/>
      <c r="W119" s="17"/>
      <c r="X119" s="17"/>
      <c r="Y119" s="17"/>
      <c r="Z119" s="17"/>
      <c r="AA119" s="20"/>
      <c r="AB119" s="17"/>
      <c r="AC119" s="17"/>
      <c r="AD119" s="31"/>
      <c r="AE119" s="31"/>
      <c r="AF119" s="31"/>
      <c r="AG119" s="31"/>
      <c r="AH119" s="31"/>
      <c r="AI119" s="31"/>
      <c r="AJ119" s="17"/>
      <c r="AK119" s="17"/>
      <c r="AL119" s="17"/>
      <c r="AM119" s="17"/>
    </row>
    <row r="120" spans="1:39" ht="12.75" customHeight="1">
      <c r="A120" s="20"/>
      <c r="B120" s="17"/>
      <c r="C120" s="17"/>
      <c r="D120" s="31"/>
      <c r="E120" s="31"/>
      <c r="F120" s="31"/>
      <c r="G120" s="31"/>
      <c r="H120" s="31"/>
      <c r="I120" s="17"/>
      <c r="J120" s="17"/>
      <c r="K120" s="17"/>
      <c r="L120" s="17"/>
      <c r="M120" s="17"/>
      <c r="N120" s="20"/>
      <c r="O120" s="17"/>
      <c r="P120" s="17"/>
      <c r="Q120" s="31"/>
      <c r="R120" s="31"/>
      <c r="S120" s="31"/>
      <c r="T120" s="31"/>
      <c r="U120" s="31"/>
      <c r="V120" s="17"/>
      <c r="W120" s="17"/>
      <c r="X120" s="17"/>
      <c r="Y120" s="17"/>
      <c r="Z120" s="17"/>
      <c r="AA120" s="20"/>
      <c r="AB120" s="17"/>
      <c r="AC120" s="17"/>
      <c r="AD120" s="31"/>
      <c r="AE120" s="31"/>
      <c r="AF120" s="31"/>
      <c r="AG120" s="31"/>
      <c r="AH120" s="31"/>
      <c r="AI120" s="17"/>
      <c r="AJ120" s="17"/>
      <c r="AK120" s="17"/>
      <c r="AL120" s="17"/>
      <c r="AM120" s="17"/>
    </row>
    <row r="121" spans="1:39" ht="12.75" customHeight="1">
      <c r="A121" s="20"/>
      <c r="B121" s="17"/>
      <c r="C121" s="17"/>
      <c r="D121" s="17"/>
      <c r="E121" s="17"/>
      <c r="F121" s="17"/>
      <c r="G121" s="17"/>
      <c r="H121" s="17"/>
      <c r="I121" s="17"/>
      <c r="J121" s="17"/>
      <c r="K121" s="17"/>
      <c r="L121" s="17"/>
      <c r="M121" s="17"/>
      <c r="N121" s="20"/>
      <c r="O121" s="17"/>
      <c r="P121" s="17"/>
      <c r="Q121" s="17"/>
      <c r="R121" s="17"/>
      <c r="S121" s="17"/>
      <c r="T121" s="17"/>
      <c r="U121" s="17"/>
      <c r="V121" s="17"/>
      <c r="W121" s="17"/>
      <c r="X121" s="17"/>
      <c r="Y121" s="17"/>
      <c r="Z121" s="17"/>
      <c r="AA121" s="20"/>
      <c r="AB121" s="17"/>
      <c r="AC121" s="17"/>
      <c r="AD121" s="17"/>
      <c r="AE121" s="17"/>
      <c r="AF121" s="17"/>
      <c r="AG121" s="17"/>
      <c r="AH121" s="17"/>
      <c r="AI121" s="17"/>
      <c r="AJ121" s="17"/>
      <c r="AK121" s="17"/>
      <c r="AL121" s="17"/>
      <c r="AM121" s="17"/>
    </row>
    <row r="122" spans="1:39" ht="12.75" customHeight="1">
      <c r="A122" s="20"/>
      <c r="B122" s="17"/>
      <c r="C122" s="17"/>
      <c r="D122" s="17"/>
      <c r="E122" s="17"/>
      <c r="F122" s="17"/>
      <c r="G122" s="17"/>
      <c r="H122" s="29"/>
      <c r="I122" s="17"/>
      <c r="J122" s="17"/>
      <c r="K122" s="17"/>
      <c r="L122" s="17"/>
      <c r="M122" s="17"/>
      <c r="N122" s="20"/>
      <c r="O122" s="17"/>
      <c r="P122" s="17"/>
      <c r="Q122" s="17"/>
      <c r="R122" s="17"/>
      <c r="S122" s="17"/>
      <c r="T122" s="17"/>
      <c r="U122" s="29"/>
      <c r="V122" s="17"/>
      <c r="W122" s="17"/>
      <c r="X122" s="17"/>
      <c r="Y122" s="17"/>
      <c r="Z122" s="17"/>
      <c r="AA122" s="20"/>
      <c r="AB122" s="17"/>
      <c r="AC122" s="17"/>
      <c r="AD122" s="17"/>
      <c r="AE122" s="17"/>
      <c r="AF122" s="17"/>
      <c r="AG122" s="17"/>
      <c r="AH122" s="29"/>
      <c r="AI122" s="17"/>
      <c r="AJ122" s="17"/>
      <c r="AK122" s="17"/>
      <c r="AL122" s="17"/>
      <c r="AM122" s="17"/>
    </row>
    <row r="123" spans="1:39" ht="12.75" customHeight="1">
      <c r="A123" s="20"/>
      <c r="B123" s="17"/>
      <c r="C123" s="17"/>
      <c r="D123" s="17"/>
      <c r="E123" s="17"/>
      <c r="F123" s="17"/>
      <c r="G123" s="17"/>
      <c r="H123" s="29"/>
      <c r="I123" s="17"/>
      <c r="J123" s="17"/>
      <c r="K123" s="17"/>
      <c r="L123" s="17"/>
      <c r="M123" s="17"/>
      <c r="N123" s="20"/>
      <c r="O123" s="17"/>
      <c r="P123" s="17"/>
      <c r="Q123" s="17"/>
      <c r="R123" s="17"/>
      <c r="S123" s="17"/>
      <c r="T123" s="17"/>
      <c r="U123" s="29"/>
      <c r="V123" s="17"/>
      <c r="W123" s="17"/>
      <c r="X123" s="17"/>
      <c r="Y123" s="17"/>
      <c r="Z123" s="17"/>
      <c r="AA123" s="20"/>
      <c r="AB123" s="17"/>
      <c r="AC123" s="17"/>
      <c r="AD123" s="17"/>
      <c r="AE123" s="17"/>
      <c r="AF123" s="17"/>
      <c r="AG123" s="17"/>
      <c r="AH123" s="29"/>
      <c r="AI123" s="17"/>
      <c r="AJ123" s="17"/>
      <c r="AK123" s="17"/>
      <c r="AL123" s="17"/>
      <c r="AM123" s="17"/>
    </row>
    <row r="124" spans="1:39" ht="12.75" customHeight="1">
      <c r="A124" s="20"/>
      <c r="B124" s="17"/>
      <c r="C124" s="17"/>
      <c r="D124" s="31"/>
      <c r="E124" s="25"/>
      <c r="F124" s="25"/>
      <c r="G124" s="21"/>
      <c r="H124" s="25"/>
      <c r="I124" s="17"/>
      <c r="J124" s="17"/>
      <c r="K124" s="17"/>
      <c r="L124" s="17"/>
      <c r="M124" s="17"/>
      <c r="N124" s="20"/>
      <c r="O124" s="17"/>
      <c r="P124" s="17"/>
      <c r="Q124" s="31"/>
      <c r="R124" s="25"/>
      <c r="S124" s="25"/>
      <c r="T124" s="21"/>
      <c r="U124" s="25"/>
      <c r="V124" s="17"/>
      <c r="W124" s="17"/>
      <c r="X124" s="17"/>
      <c r="Y124" s="17"/>
      <c r="Z124" s="17"/>
      <c r="AA124" s="20"/>
      <c r="AB124" s="17"/>
      <c r="AC124" s="17"/>
      <c r="AD124" s="31"/>
      <c r="AE124" s="25"/>
      <c r="AF124" s="25"/>
      <c r="AG124" s="21"/>
      <c r="AH124" s="25"/>
      <c r="AI124" s="17"/>
      <c r="AJ124" s="17"/>
      <c r="AK124" s="17"/>
      <c r="AL124" s="17"/>
      <c r="AM124" s="17"/>
    </row>
    <row r="125" spans="1:39" ht="12.75" customHeight="1">
      <c r="A125" s="20"/>
      <c r="B125" s="17"/>
      <c r="C125" s="17"/>
      <c r="D125" s="24"/>
      <c r="E125" s="17"/>
      <c r="F125" s="17"/>
      <c r="G125" s="17"/>
      <c r="H125" s="17"/>
      <c r="I125" s="17"/>
      <c r="J125" s="17"/>
      <c r="K125" s="17"/>
      <c r="L125" s="17"/>
      <c r="M125" s="17"/>
      <c r="N125" s="20"/>
      <c r="O125" s="17"/>
      <c r="P125" s="17"/>
      <c r="Q125" s="24"/>
      <c r="R125" s="17"/>
      <c r="S125" s="17"/>
      <c r="T125" s="17"/>
      <c r="U125" s="17"/>
      <c r="V125" s="17"/>
      <c r="W125" s="17"/>
      <c r="X125" s="17"/>
      <c r="Y125" s="17"/>
      <c r="Z125" s="17"/>
      <c r="AA125" s="20"/>
      <c r="AB125" s="17"/>
      <c r="AC125" s="17"/>
      <c r="AD125" s="24"/>
      <c r="AE125" s="17"/>
      <c r="AF125" s="17"/>
      <c r="AG125" s="17"/>
      <c r="AH125" s="17"/>
      <c r="AI125" s="17"/>
      <c r="AJ125" s="17"/>
      <c r="AK125" s="17"/>
      <c r="AL125" s="17"/>
      <c r="AM125" s="17"/>
    </row>
    <row r="126" spans="1:39" ht="12.75" customHeight="1">
      <c r="A126" s="20"/>
      <c r="B126" s="17"/>
      <c r="C126" s="17"/>
      <c r="D126" s="24"/>
      <c r="E126" s="17"/>
      <c r="F126" s="17"/>
      <c r="G126" s="17"/>
      <c r="H126" s="17"/>
      <c r="I126" s="17"/>
      <c r="J126" s="17"/>
      <c r="K126" s="17"/>
      <c r="L126" s="17"/>
      <c r="M126" s="17"/>
      <c r="N126" s="20"/>
      <c r="O126" s="17"/>
      <c r="P126" s="17"/>
      <c r="Q126" s="24"/>
      <c r="R126" s="17"/>
      <c r="S126" s="17"/>
      <c r="T126" s="17"/>
      <c r="U126" s="17"/>
      <c r="V126" s="17"/>
      <c r="W126" s="17"/>
      <c r="X126" s="17"/>
      <c r="Y126" s="17"/>
      <c r="Z126" s="17"/>
      <c r="AA126" s="20"/>
      <c r="AB126" s="17"/>
      <c r="AC126" s="17"/>
      <c r="AD126" s="24"/>
      <c r="AE126" s="17"/>
      <c r="AF126" s="17"/>
      <c r="AG126" s="17"/>
      <c r="AH126" s="17"/>
      <c r="AI126" s="17"/>
      <c r="AJ126" s="17"/>
      <c r="AK126" s="17"/>
      <c r="AL126" s="17"/>
      <c r="AM126" s="17"/>
    </row>
    <row r="127" spans="1:39" ht="12.75" customHeight="1">
      <c r="A127" s="20"/>
      <c r="B127" s="17"/>
      <c r="C127" s="17"/>
      <c r="D127" s="17"/>
      <c r="E127" s="17"/>
      <c r="F127" s="17"/>
      <c r="G127" s="17"/>
      <c r="H127" s="17"/>
      <c r="I127" s="17"/>
      <c r="J127" s="17"/>
      <c r="K127" s="17"/>
      <c r="L127" s="17"/>
      <c r="M127" s="17"/>
      <c r="N127" s="20"/>
      <c r="O127" s="17"/>
      <c r="P127" s="17"/>
      <c r="Q127" s="17"/>
      <c r="R127" s="17"/>
      <c r="S127" s="17"/>
      <c r="T127" s="17"/>
      <c r="U127" s="17"/>
      <c r="V127" s="17"/>
      <c r="W127" s="17"/>
      <c r="X127" s="17"/>
      <c r="Y127" s="17"/>
      <c r="Z127" s="17"/>
      <c r="AA127" s="20"/>
      <c r="AB127" s="17"/>
      <c r="AC127" s="17"/>
      <c r="AD127" s="17"/>
      <c r="AE127" s="17"/>
      <c r="AF127" s="17"/>
      <c r="AG127" s="17"/>
      <c r="AH127" s="17"/>
      <c r="AI127" s="17"/>
      <c r="AJ127" s="17"/>
      <c r="AK127" s="17"/>
      <c r="AL127" s="17"/>
      <c r="AM127" s="17"/>
    </row>
    <row r="128" spans="1:39" ht="12.75" customHeight="1">
      <c r="A128" s="20"/>
      <c r="B128" s="17"/>
      <c r="C128" s="17"/>
      <c r="D128" s="17"/>
      <c r="E128" s="17"/>
      <c r="F128" s="17"/>
      <c r="G128" s="17"/>
      <c r="H128" s="17"/>
      <c r="I128" s="17"/>
      <c r="J128" s="17"/>
      <c r="K128" s="17"/>
      <c r="L128" s="17"/>
      <c r="M128" s="17"/>
      <c r="N128" s="20"/>
      <c r="O128" s="17"/>
      <c r="P128" s="17"/>
      <c r="Q128" s="17"/>
      <c r="R128" s="17"/>
      <c r="S128" s="17"/>
      <c r="T128" s="17"/>
      <c r="U128" s="17"/>
      <c r="V128" s="17"/>
      <c r="W128" s="17"/>
      <c r="X128" s="17"/>
      <c r="Y128" s="17"/>
      <c r="Z128" s="17"/>
      <c r="AA128" s="20"/>
      <c r="AB128" s="17"/>
      <c r="AC128" s="17"/>
      <c r="AD128" s="17"/>
      <c r="AE128" s="17"/>
      <c r="AF128" s="17"/>
      <c r="AG128" s="17"/>
      <c r="AH128" s="17"/>
      <c r="AI128" s="17"/>
      <c r="AJ128" s="17"/>
      <c r="AK128" s="17"/>
      <c r="AL128" s="17"/>
      <c r="AM128" s="17"/>
    </row>
    <row r="129" spans="1:39" ht="12.75" customHeight="1">
      <c r="A129" s="20"/>
      <c r="B129" s="17"/>
      <c r="C129" s="17"/>
      <c r="D129" s="17"/>
      <c r="E129" s="17"/>
      <c r="F129" s="17"/>
      <c r="G129" s="17"/>
      <c r="H129" s="17"/>
      <c r="I129" s="17"/>
      <c r="J129" s="17"/>
      <c r="K129" s="17"/>
      <c r="L129" s="17"/>
      <c r="M129" s="17"/>
      <c r="N129" s="20"/>
      <c r="O129" s="17"/>
      <c r="P129" s="17"/>
      <c r="Q129" s="17"/>
      <c r="R129" s="17"/>
      <c r="S129" s="17"/>
      <c r="T129" s="17"/>
      <c r="U129" s="17"/>
      <c r="V129" s="17"/>
      <c r="W129" s="17"/>
      <c r="X129" s="17"/>
      <c r="Y129" s="17"/>
      <c r="Z129" s="17"/>
      <c r="AA129" s="20"/>
      <c r="AB129" s="17"/>
      <c r="AC129" s="17"/>
      <c r="AD129" s="17"/>
      <c r="AE129" s="17"/>
      <c r="AF129" s="17"/>
      <c r="AG129" s="17"/>
      <c r="AH129" s="17"/>
      <c r="AI129" s="17"/>
      <c r="AJ129" s="17"/>
      <c r="AK129" s="17"/>
      <c r="AL129" s="17"/>
      <c r="AM129" s="17"/>
    </row>
    <row r="130" spans="1:39" ht="12.75" customHeight="1">
      <c r="A130" s="20"/>
      <c r="B130" s="17"/>
      <c r="C130" s="17"/>
      <c r="D130" s="17"/>
      <c r="E130" s="17"/>
      <c r="F130" s="17"/>
      <c r="G130" s="17"/>
      <c r="H130" s="17"/>
      <c r="I130" s="17"/>
      <c r="J130" s="17"/>
      <c r="K130" s="17"/>
      <c r="L130" s="17"/>
      <c r="M130" s="17"/>
      <c r="N130" s="20"/>
      <c r="O130" s="17"/>
      <c r="P130" s="17"/>
      <c r="Q130" s="17"/>
      <c r="R130" s="17"/>
      <c r="S130" s="17"/>
      <c r="T130" s="17"/>
      <c r="U130" s="17"/>
      <c r="V130" s="17"/>
      <c r="W130" s="17"/>
      <c r="X130" s="17"/>
      <c r="Y130" s="17"/>
      <c r="Z130" s="17"/>
      <c r="AA130" s="20"/>
      <c r="AB130" s="17"/>
      <c r="AC130" s="17"/>
      <c r="AD130" s="17"/>
      <c r="AE130" s="17"/>
      <c r="AF130" s="17"/>
      <c r="AG130" s="17"/>
      <c r="AH130" s="17"/>
      <c r="AI130" s="17"/>
      <c r="AJ130" s="17"/>
      <c r="AK130" s="17"/>
      <c r="AL130" s="17"/>
      <c r="AM130" s="17"/>
    </row>
    <row r="131" spans="1:39" ht="12.75" customHeight="1">
      <c r="A131" s="20"/>
      <c r="B131" s="17"/>
      <c r="C131" s="17"/>
      <c r="D131" s="17"/>
      <c r="E131" s="17"/>
      <c r="F131" s="17"/>
      <c r="G131" s="17"/>
      <c r="H131" s="17"/>
      <c r="I131" s="17"/>
      <c r="J131" s="17"/>
      <c r="K131" s="17"/>
      <c r="L131" s="17"/>
      <c r="M131" s="17"/>
      <c r="N131" s="20"/>
      <c r="O131" s="17"/>
      <c r="P131" s="17"/>
      <c r="Q131" s="17"/>
      <c r="R131" s="17"/>
      <c r="S131" s="17"/>
      <c r="T131" s="17"/>
      <c r="U131" s="17"/>
      <c r="V131" s="17"/>
      <c r="W131" s="17"/>
      <c r="X131" s="17"/>
      <c r="Y131" s="17"/>
      <c r="Z131" s="17"/>
      <c r="AA131" s="20"/>
      <c r="AB131" s="17"/>
      <c r="AC131" s="17"/>
      <c r="AD131" s="17"/>
      <c r="AE131" s="17"/>
      <c r="AF131" s="17"/>
      <c r="AG131" s="17"/>
      <c r="AH131" s="17"/>
      <c r="AI131" s="17"/>
      <c r="AJ131" s="17"/>
      <c r="AK131" s="17"/>
      <c r="AL131" s="17"/>
      <c r="AM131" s="17"/>
    </row>
    <row r="132" spans="1:39" ht="12.75" customHeight="1">
      <c r="A132" s="20"/>
      <c r="B132" s="17"/>
      <c r="C132" s="17"/>
      <c r="D132" s="31"/>
      <c r="E132" s="25"/>
      <c r="F132" s="25"/>
      <c r="G132" s="21"/>
      <c r="H132" s="25"/>
      <c r="I132" s="17"/>
      <c r="J132" s="17"/>
      <c r="K132" s="17"/>
      <c r="L132" s="17"/>
      <c r="M132" s="17"/>
      <c r="N132" s="20"/>
      <c r="O132" s="17"/>
      <c r="P132" s="17"/>
      <c r="Q132" s="31"/>
      <c r="R132" s="25"/>
      <c r="S132" s="25"/>
      <c r="T132" s="21"/>
      <c r="U132" s="25"/>
      <c r="V132" s="17"/>
      <c r="W132" s="17"/>
      <c r="X132" s="17"/>
      <c r="Y132" s="17"/>
      <c r="Z132" s="17"/>
      <c r="AA132" s="20"/>
      <c r="AB132" s="17"/>
      <c r="AC132" s="17"/>
      <c r="AD132" s="31"/>
      <c r="AE132" s="25"/>
      <c r="AF132" s="25"/>
      <c r="AG132" s="21"/>
      <c r="AH132" s="25"/>
      <c r="AI132" s="17"/>
      <c r="AJ132" s="17"/>
      <c r="AK132" s="17"/>
      <c r="AL132" s="17"/>
      <c r="AM132" s="17"/>
    </row>
    <row r="133" spans="1:39" ht="12.75" customHeight="1">
      <c r="A133" s="20"/>
      <c r="B133" s="17"/>
      <c r="C133" s="17"/>
      <c r="D133" s="25"/>
      <c r="E133" s="17"/>
      <c r="F133" s="17"/>
      <c r="G133" s="22"/>
      <c r="H133" s="17"/>
      <c r="I133" s="17"/>
      <c r="J133" s="17"/>
      <c r="K133" s="17"/>
      <c r="L133" s="17"/>
      <c r="M133" s="17"/>
      <c r="N133" s="20"/>
      <c r="O133" s="17"/>
      <c r="P133" s="17"/>
      <c r="Q133" s="25"/>
      <c r="R133" s="17"/>
      <c r="S133" s="17"/>
      <c r="T133" s="22"/>
      <c r="U133" s="17"/>
      <c r="V133" s="17"/>
      <c r="W133" s="17"/>
      <c r="X133" s="17"/>
      <c r="Y133" s="17"/>
      <c r="Z133" s="17"/>
      <c r="AA133" s="20"/>
      <c r="AB133" s="17"/>
      <c r="AC133" s="17"/>
      <c r="AD133" s="25"/>
      <c r="AE133" s="17"/>
      <c r="AF133" s="17"/>
      <c r="AG133" s="22"/>
      <c r="AH133" s="17"/>
      <c r="AI133" s="17"/>
      <c r="AJ133" s="17"/>
      <c r="AK133" s="17"/>
      <c r="AL133" s="17"/>
      <c r="AM133" s="17"/>
    </row>
    <row r="134" spans="1:39" ht="12.75" customHeight="1">
      <c r="A134" s="20"/>
      <c r="B134" s="17"/>
      <c r="C134" s="17"/>
      <c r="D134" s="25"/>
      <c r="E134" s="17"/>
      <c r="F134" s="17"/>
      <c r="G134" s="22"/>
      <c r="H134" s="17"/>
      <c r="I134" s="17"/>
      <c r="J134" s="17"/>
      <c r="K134" s="17"/>
      <c r="L134" s="17"/>
      <c r="M134" s="17"/>
      <c r="N134" s="20"/>
      <c r="O134" s="17"/>
      <c r="P134" s="17"/>
      <c r="Q134" s="25"/>
      <c r="R134" s="17"/>
      <c r="S134" s="17"/>
      <c r="T134" s="22"/>
      <c r="U134" s="17"/>
      <c r="V134" s="17"/>
      <c r="W134" s="17"/>
      <c r="X134" s="17"/>
      <c r="Y134" s="17"/>
      <c r="Z134" s="17"/>
      <c r="AA134" s="20"/>
      <c r="AB134" s="17"/>
      <c r="AC134" s="17"/>
      <c r="AD134" s="25"/>
      <c r="AE134" s="17"/>
      <c r="AF134" s="17"/>
      <c r="AG134" s="22"/>
      <c r="AH134" s="17"/>
      <c r="AI134" s="17"/>
      <c r="AJ134" s="17"/>
      <c r="AK134" s="17"/>
      <c r="AL134" s="17"/>
      <c r="AM134" s="17"/>
    </row>
    <row r="135" spans="1:39" ht="12.75" customHeight="1">
      <c r="A135" s="20"/>
      <c r="B135" s="17"/>
      <c r="C135" s="17"/>
      <c r="D135" s="17"/>
      <c r="E135" s="17"/>
      <c r="F135" s="17"/>
      <c r="G135" s="17"/>
      <c r="H135" s="17"/>
      <c r="I135" s="17"/>
      <c r="J135" s="17"/>
      <c r="K135" s="17"/>
      <c r="L135" s="17"/>
      <c r="M135" s="17"/>
      <c r="N135" s="20"/>
      <c r="O135" s="17"/>
      <c r="P135" s="17"/>
      <c r="Q135" s="17"/>
      <c r="R135" s="17"/>
      <c r="S135" s="17"/>
      <c r="T135" s="17"/>
      <c r="U135" s="17"/>
      <c r="V135" s="17"/>
      <c r="W135" s="17"/>
      <c r="X135" s="17"/>
      <c r="Y135" s="17"/>
      <c r="Z135" s="17"/>
      <c r="AA135" s="20"/>
      <c r="AB135" s="17"/>
      <c r="AC135" s="17"/>
      <c r="AD135" s="17"/>
      <c r="AE135" s="17"/>
      <c r="AF135" s="17"/>
      <c r="AG135" s="17"/>
      <c r="AH135" s="17"/>
      <c r="AI135" s="17"/>
      <c r="AJ135" s="17"/>
      <c r="AK135" s="17"/>
      <c r="AL135" s="17"/>
      <c r="AM135" s="17"/>
    </row>
    <row r="136" spans="1:39" ht="12.75" customHeight="1">
      <c r="A136" s="20"/>
      <c r="B136" s="17"/>
      <c r="C136" s="17"/>
      <c r="D136" s="31"/>
      <c r="E136" s="25"/>
      <c r="F136" s="25"/>
      <c r="G136" s="25"/>
      <c r="H136" s="25"/>
      <c r="I136" s="17"/>
      <c r="J136" s="17"/>
      <c r="K136" s="17"/>
      <c r="L136" s="17"/>
      <c r="M136" s="17"/>
      <c r="N136" s="20"/>
      <c r="O136" s="17"/>
      <c r="P136" s="17"/>
      <c r="Q136" s="31"/>
      <c r="R136" s="25"/>
      <c r="S136" s="25"/>
      <c r="T136" s="25"/>
      <c r="U136" s="25"/>
      <c r="V136" s="17"/>
      <c r="W136" s="17"/>
      <c r="X136" s="17"/>
      <c r="Y136" s="17"/>
      <c r="Z136" s="17"/>
      <c r="AA136" s="20"/>
      <c r="AB136" s="17"/>
      <c r="AC136" s="17"/>
      <c r="AD136" s="31"/>
      <c r="AE136" s="25"/>
      <c r="AF136" s="25"/>
      <c r="AG136" s="25"/>
      <c r="AH136" s="25"/>
      <c r="AI136" s="17"/>
      <c r="AJ136" s="17"/>
      <c r="AK136" s="17"/>
      <c r="AL136" s="17"/>
      <c r="AM136" s="17"/>
    </row>
    <row r="137" spans="1:39" ht="12.75" customHeight="1">
      <c r="A137" s="20"/>
      <c r="B137" s="17"/>
      <c r="C137" s="17"/>
      <c r="D137" s="17"/>
      <c r="E137" s="17"/>
      <c r="F137" s="17"/>
      <c r="G137" s="17"/>
      <c r="H137" s="17"/>
      <c r="I137" s="17"/>
      <c r="J137" s="17"/>
      <c r="K137" s="17"/>
      <c r="L137" s="17"/>
      <c r="M137" s="17"/>
      <c r="N137" s="20"/>
      <c r="O137" s="17"/>
      <c r="P137" s="17"/>
      <c r="Q137" s="17"/>
      <c r="R137" s="17"/>
      <c r="S137" s="17"/>
      <c r="T137" s="17"/>
      <c r="U137" s="17"/>
      <c r="V137" s="17"/>
      <c r="W137" s="17"/>
      <c r="X137" s="17"/>
      <c r="Y137" s="17"/>
      <c r="Z137" s="17"/>
      <c r="AA137" s="20"/>
      <c r="AB137" s="17"/>
      <c r="AC137" s="17"/>
      <c r="AD137" s="17"/>
      <c r="AE137" s="17"/>
      <c r="AF137" s="17"/>
      <c r="AG137" s="17"/>
      <c r="AH137" s="17"/>
      <c r="AI137" s="17"/>
      <c r="AJ137" s="17"/>
      <c r="AK137" s="17"/>
      <c r="AL137" s="17"/>
      <c r="AM137" s="17"/>
    </row>
    <row r="138" spans="1:39" ht="12.75" customHeight="1">
      <c r="A138" s="20"/>
      <c r="B138" s="17"/>
      <c r="C138" s="17"/>
      <c r="D138" s="17"/>
      <c r="E138" s="17"/>
      <c r="F138" s="17"/>
      <c r="G138" s="17"/>
      <c r="H138" s="17"/>
      <c r="I138" s="17"/>
      <c r="J138" s="17"/>
      <c r="K138" s="17"/>
      <c r="L138" s="17"/>
      <c r="M138" s="17"/>
      <c r="N138" s="20"/>
      <c r="O138" s="17"/>
      <c r="P138" s="17"/>
      <c r="Q138" s="17"/>
      <c r="R138" s="17"/>
      <c r="S138" s="17"/>
      <c r="T138" s="17"/>
      <c r="U138" s="17"/>
      <c r="V138" s="17"/>
      <c r="W138" s="17"/>
      <c r="X138" s="17"/>
      <c r="Y138" s="17"/>
      <c r="Z138" s="17"/>
      <c r="AA138" s="20"/>
      <c r="AB138" s="17"/>
      <c r="AC138" s="17"/>
      <c r="AD138" s="17"/>
      <c r="AE138" s="17"/>
      <c r="AF138" s="17"/>
      <c r="AG138" s="17"/>
      <c r="AH138" s="17"/>
      <c r="AI138" s="17"/>
      <c r="AJ138" s="17"/>
      <c r="AK138" s="17"/>
      <c r="AL138" s="17"/>
      <c r="AM138" s="17"/>
    </row>
    <row r="139" spans="1:39" ht="12.75" customHeight="1">
      <c r="A139" s="20"/>
      <c r="B139" s="17"/>
      <c r="C139" s="17"/>
      <c r="D139" s="17"/>
      <c r="E139" s="17"/>
      <c r="F139" s="17"/>
      <c r="G139" s="17"/>
      <c r="H139" s="17"/>
      <c r="I139" s="17"/>
      <c r="J139" s="17"/>
      <c r="K139" s="17"/>
      <c r="L139" s="17"/>
      <c r="M139" s="17"/>
      <c r="N139" s="20"/>
      <c r="O139" s="17"/>
      <c r="P139" s="17"/>
      <c r="Q139" s="17"/>
      <c r="R139" s="17"/>
      <c r="S139" s="17"/>
      <c r="T139" s="17"/>
      <c r="U139" s="17"/>
      <c r="V139" s="17"/>
      <c r="W139" s="17"/>
      <c r="X139" s="17"/>
      <c r="Y139" s="17"/>
      <c r="Z139" s="17"/>
      <c r="AA139" s="20"/>
      <c r="AB139" s="17"/>
      <c r="AC139" s="17"/>
      <c r="AD139" s="17"/>
      <c r="AE139" s="17"/>
      <c r="AF139" s="17"/>
      <c r="AG139" s="17"/>
      <c r="AH139" s="17"/>
      <c r="AI139" s="17"/>
      <c r="AJ139" s="17"/>
      <c r="AK139" s="17"/>
      <c r="AL139" s="17"/>
      <c r="AM139" s="17"/>
    </row>
    <row r="140" spans="1:39" ht="12.75" customHeight="1">
      <c r="A140" s="20"/>
      <c r="B140" s="20"/>
      <c r="C140" s="17"/>
      <c r="D140" s="17"/>
      <c r="E140" s="17"/>
      <c r="F140" s="17"/>
      <c r="G140" s="17"/>
      <c r="H140" s="17"/>
      <c r="I140" s="17"/>
      <c r="J140" s="17"/>
      <c r="K140" s="17"/>
      <c r="L140" s="17"/>
      <c r="M140" s="17"/>
      <c r="N140" s="20"/>
      <c r="O140" s="20"/>
      <c r="P140" s="17"/>
      <c r="Q140" s="17"/>
      <c r="R140" s="17"/>
      <c r="S140" s="17"/>
      <c r="T140" s="17"/>
      <c r="U140" s="17"/>
      <c r="V140" s="17"/>
      <c r="W140" s="17"/>
      <c r="X140" s="17"/>
      <c r="Y140" s="17"/>
      <c r="Z140" s="17"/>
      <c r="AA140" s="20"/>
      <c r="AB140" s="20"/>
      <c r="AC140" s="17"/>
      <c r="AD140" s="17"/>
      <c r="AE140" s="17"/>
      <c r="AF140" s="17"/>
      <c r="AG140" s="17"/>
      <c r="AH140" s="17"/>
      <c r="AI140" s="17"/>
      <c r="AJ140" s="17"/>
      <c r="AK140" s="17"/>
      <c r="AL140" s="17"/>
      <c r="AM140" s="17"/>
    </row>
    <row r="141" spans="1:39" ht="12.75" customHeight="1">
      <c r="A141" s="20"/>
      <c r="B141" s="20"/>
      <c r="C141" s="17"/>
      <c r="D141" s="17"/>
      <c r="E141" s="17"/>
      <c r="F141" s="17"/>
      <c r="G141" s="17"/>
      <c r="H141" s="17"/>
      <c r="I141" s="17"/>
      <c r="J141" s="33"/>
      <c r="K141" s="17"/>
      <c r="L141" s="17"/>
      <c r="M141" s="17"/>
      <c r="N141" s="20"/>
      <c r="O141" s="20"/>
      <c r="P141" s="17"/>
      <c r="Q141" s="17"/>
      <c r="R141" s="17"/>
      <c r="S141" s="17"/>
      <c r="T141" s="17"/>
      <c r="U141" s="17"/>
      <c r="V141" s="17"/>
      <c r="W141" s="33"/>
      <c r="X141" s="17"/>
      <c r="Y141" s="17"/>
      <c r="Z141" s="17"/>
      <c r="AA141" s="20"/>
      <c r="AB141" s="20"/>
      <c r="AC141" s="17"/>
      <c r="AD141" s="17"/>
      <c r="AE141" s="17"/>
      <c r="AF141" s="17"/>
      <c r="AG141" s="17"/>
      <c r="AH141" s="17"/>
      <c r="AI141" s="17"/>
      <c r="AJ141" s="33"/>
      <c r="AK141" s="17"/>
      <c r="AL141" s="17"/>
      <c r="AM141" s="17"/>
    </row>
    <row r="142" spans="1:39" ht="12.75" customHeight="1">
      <c r="A142" s="20"/>
      <c r="B142" s="20"/>
      <c r="C142" s="17"/>
      <c r="D142" s="17"/>
      <c r="E142" s="17"/>
      <c r="F142" s="17"/>
      <c r="G142" s="17"/>
      <c r="H142" s="17"/>
      <c r="I142" s="17"/>
      <c r="J142" s="33"/>
      <c r="K142" s="17"/>
      <c r="L142" s="17"/>
      <c r="M142" s="17"/>
      <c r="N142" s="20"/>
      <c r="O142" s="20"/>
      <c r="P142" s="17"/>
      <c r="Q142" s="17"/>
      <c r="R142" s="17"/>
      <c r="S142" s="17"/>
      <c r="T142" s="17"/>
      <c r="U142" s="17"/>
      <c r="V142" s="17"/>
      <c r="W142" s="33"/>
      <c r="X142" s="17"/>
      <c r="Y142" s="17"/>
      <c r="Z142" s="17"/>
      <c r="AA142" s="20"/>
      <c r="AB142" s="20"/>
      <c r="AC142" s="17"/>
      <c r="AD142" s="17"/>
      <c r="AE142" s="17"/>
      <c r="AF142" s="17"/>
      <c r="AG142" s="17"/>
      <c r="AH142" s="17"/>
      <c r="AI142" s="17"/>
      <c r="AJ142" s="33"/>
      <c r="AK142" s="17"/>
      <c r="AL142" s="17"/>
      <c r="AM142" s="17"/>
    </row>
    <row r="143" spans="1:39" ht="12.75" customHeight="1">
      <c r="A143" s="20"/>
      <c r="B143" s="20"/>
      <c r="C143" s="17"/>
      <c r="D143" s="31"/>
      <c r="E143" s="25"/>
      <c r="F143" s="25"/>
      <c r="G143" s="25"/>
      <c r="H143" s="25"/>
      <c r="I143" s="17"/>
      <c r="J143" s="33"/>
      <c r="K143" s="17"/>
      <c r="L143" s="17"/>
      <c r="M143" s="17"/>
      <c r="N143" s="20"/>
      <c r="O143" s="20"/>
      <c r="P143" s="17"/>
      <c r="Q143" s="31"/>
      <c r="R143" s="25"/>
      <c r="S143" s="25"/>
      <c r="T143" s="25"/>
      <c r="U143" s="25"/>
      <c r="V143" s="17"/>
      <c r="W143" s="33"/>
      <c r="X143" s="17"/>
      <c r="Y143" s="17"/>
      <c r="Z143" s="17"/>
      <c r="AA143" s="20"/>
      <c r="AB143" s="20"/>
      <c r="AC143" s="17"/>
      <c r="AD143" s="31"/>
      <c r="AE143" s="25"/>
      <c r="AF143" s="25"/>
      <c r="AG143" s="25"/>
      <c r="AH143" s="25"/>
      <c r="AI143" s="17"/>
      <c r="AJ143" s="33"/>
      <c r="AK143" s="17"/>
      <c r="AL143" s="17"/>
      <c r="AM143" s="17"/>
    </row>
    <row r="144" spans="1:39" ht="12.75" customHeight="1">
      <c r="A144" s="20"/>
      <c r="B144" s="20"/>
      <c r="C144" s="17"/>
      <c r="D144" s="18"/>
      <c r="E144" s="17"/>
      <c r="F144" s="17"/>
      <c r="G144" s="22"/>
      <c r="H144" s="23"/>
      <c r="I144" s="17"/>
      <c r="J144" s="33"/>
      <c r="K144" s="17"/>
      <c r="L144" s="17"/>
      <c r="M144" s="17"/>
      <c r="N144" s="20"/>
      <c r="O144" s="20"/>
      <c r="P144" s="17"/>
      <c r="Q144" s="18"/>
      <c r="R144" s="17"/>
      <c r="S144" s="17"/>
      <c r="T144" s="22"/>
      <c r="U144" s="23"/>
      <c r="V144" s="17"/>
      <c r="W144" s="33"/>
      <c r="X144" s="17"/>
      <c r="Y144" s="17"/>
      <c r="Z144" s="17"/>
      <c r="AA144" s="20"/>
      <c r="AB144" s="20"/>
      <c r="AC144" s="17"/>
      <c r="AD144" s="18"/>
      <c r="AE144" s="17"/>
      <c r="AF144" s="17"/>
      <c r="AG144" s="22"/>
      <c r="AH144" s="23"/>
      <c r="AI144" s="17"/>
      <c r="AJ144" s="33"/>
      <c r="AK144" s="17"/>
      <c r="AL144" s="17"/>
      <c r="AM144" s="17"/>
    </row>
    <row r="145" spans="1:39" ht="12.75" customHeight="1">
      <c r="A145" s="20"/>
      <c r="B145" s="20"/>
      <c r="C145" s="17"/>
      <c r="D145" s="18"/>
      <c r="E145" s="17"/>
      <c r="F145" s="17"/>
      <c r="G145" s="22"/>
      <c r="H145" s="23"/>
      <c r="I145" s="17"/>
      <c r="J145" s="17"/>
      <c r="K145" s="17"/>
      <c r="L145" s="17"/>
      <c r="M145" s="17"/>
      <c r="N145" s="20"/>
      <c r="O145" s="20"/>
      <c r="P145" s="17"/>
      <c r="Q145" s="18"/>
      <c r="R145" s="17"/>
      <c r="S145" s="17"/>
      <c r="T145" s="22"/>
      <c r="U145" s="23"/>
      <c r="V145" s="17"/>
      <c r="W145" s="17"/>
      <c r="X145" s="17"/>
      <c r="Y145" s="17"/>
      <c r="Z145" s="17"/>
      <c r="AA145" s="20"/>
      <c r="AB145" s="20"/>
      <c r="AC145" s="17"/>
      <c r="AD145" s="18"/>
      <c r="AE145" s="17"/>
      <c r="AF145" s="17"/>
      <c r="AG145" s="22"/>
      <c r="AH145" s="23"/>
      <c r="AI145" s="17"/>
      <c r="AJ145" s="17"/>
      <c r="AK145" s="17"/>
      <c r="AL145" s="17"/>
      <c r="AM145" s="17"/>
    </row>
    <row r="146" spans="1:39" ht="12.75" customHeight="1">
      <c r="A146" s="20"/>
      <c r="B146" s="20"/>
      <c r="C146" s="17"/>
      <c r="D146" s="18"/>
      <c r="E146" s="17"/>
      <c r="F146" s="17"/>
      <c r="G146" s="22"/>
      <c r="H146" s="23"/>
      <c r="I146" s="17"/>
      <c r="J146" s="33"/>
      <c r="K146" s="17"/>
      <c r="L146" s="17"/>
      <c r="M146" s="17"/>
      <c r="N146" s="20"/>
      <c r="O146" s="20"/>
      <c r="P146" s="17"/>
      <c r="Q146" s="18"/>
      <c r="R146" s="17"/>
      <c r="S146" s="17"/>
      <c r="T146" s="22"/>
      <c r="U146" s="23"/>
      <c r="V146" s="17"/>
      <c r="W146" s="33"/>
      <c r="X146" s="17"/>
      <c r="Y146" s="17"/>
      <c r="Z146" s="17"/>
      <c r="AA146" s="20"/>
      <c r="AB146" s="20"/>
      <c r="AC146" s="17"/>
      <c r="AD146" s="18"/>
      <c r="AE146" s="17"/>
      <c r="AF146" s="17"/>
      <c r="AG146" s="22"/>
      <c r="AH146" s="23"/>
      <c r="AI146" s="17"/>
      <c r="AJ146" s="33"/>
      <c r="AK146" s="17"/>
      <c r="AL146" s="17"/>
      <c r="AM146" s="17"/>
    </row>
    <row r="147" spans="1:39" ht="12.75" customHeight="1">
      <c r="A147" s="20"/>
      <c r="B147" s="20"/>
      <c r="C147" s="17"/>
      <c r="D147" s="18"/>
      <c r="E147" s="17"/>
      <c r="F147" s="17"/>
      <c r="G147" s="22"/>
      <c r="H147" s="23"/>
      <c r="I147" s="17"/>
      <c r="J147" s="33"/>
      <c r="K147" s="17"/>
      <c r="L147" s="17"/>
      <c r="M147" s="17"/>
      <c r="N147" s="20"/>
      <c r="O147" s="20"/>
      <c r="P147" s="17"/>
      <c r="Q147" s="18"/>
      <c r="R147" s="17"/>
      <c r="S147" s="17"/>
      <c r="T147" s="22"/>
      <c r="U147" s="23"/>
      <c r="V147" s="17"/>
      <c r="W147" s="33"/>
      <c r="X147" s="17"/>
      <c r="Y147" s="17"/>
      <c r="Z147" s="17"/>
      <c r="AA147" s="20"/>
      <c r="AB147" s="20"/>
      <c r="AC147" s="17"/>
      <c r="AD147" s="18"/>
      <c r="AE147" s="17"/>
      <c r="AF147" s="17"/>
      <c r="AG147" s="22"/>
      <c r="AH147" s="23"/>
      <c r="AI147" s="17"/>
      <c r="AJ147" s="33"/>
      <c r="AK147" s="17"/>
      <c r="AL147" s="17"/>
      <c r="AM147" s="17"/>
    </row>
    <row r="148" spans="1:39" ht="12.75" customHeight="1">
      <c r="A148" s="20"/>
      <c r="B148" s="20"/>
      <c r="C148" s="17"/>
      <c r="D148" s="18"/>
      <c r="E148" s="17"/>
      <c r="F148" s="17"/>
      <c r="G148" s="22"/>
      <c r="H148" s="23"/>
      <c r="I148" s="17"/>
      <c r="J148" s="33"/>
      <c r="K148" s="17"/>
      <c r="L148" s="17"/>
      <c r="M148" s="17"/>
      <c r="N148" s="20"/>
      <c r="O148" s="20"/>
      <c r="P148" s="17"/>
      <c r="Q148" s="18"/>
      <c r="R148" s="17"/>
      <c r="S148" s="17"/>
      <c r="T148" s="22"/>
      <c r="U148" s="23"/>
      <c r="V148" s="17"/>
      <c r="W148" s="33"/>
      <c r="X148" s="17"/>
      <c r="Y148" s="17"/>
      <c r="Z148" s="17"/>
      <c r="AA148" s="20"/>
      <c r="AB148" s="20"/>
      <c r="AC148" s="17"/>
      <c r="AD148" s="18"/>
      <c r="AE148" s="17"/>
      <c r="AF148" s="17"/>
      <c r="AG148" s="22"/>
      <c r="AH148" s="23"/>
      <c r="AI148" s="17"/>
      <c r="AJ148" s="33"/>
      <c r="AK148" s="17"/>
      <c r="AL148" s="17"/>
      <c r="AM148" s="17"/>
    </row>
    <row r="149" spans="1:39" ht="12.75" customHeight="1">
      <c r="A149" s="20"/>
      <c r="B149" s="20"/>
      <c r="C149" s="17"/>
      <c r="D149" s="18"/>
      <c r="E149" s="17"/>
      <c r="F149" s="17"/>
      <c r="G149" s="22"/>
      <c r="H149" s="23"/>
      <c r="I149" s="17"/>
      <c r="J149" s="33"/>
      <c r="K149" s="17"/>
      <c r="L149" s="17"/>
      <c r="M149" s="17"/>
      <c r="N149" s="20"/>
      <c r="O149" s="20"/>
      <c r="P149" s="17"/>
      <c r="Q149" s="18"/>
      <c r="R149" s="17"/>
      <c r="S149" s="17"/>
      <c r="T149" s="22"/>
      <c r="U149" s="23"/>
      <c r="V149" s="17"/>
      <c r="W149" s="33"/>
      <c r="X149" s="17"/>
      <c r="Y149" s="17"/>
      <c r="Z149" s="17"/>
      <c r="AA149" s="20"/>
      <c r="AB149" s="20"/>
      <c r="AC149" s="17"/>
      <c r="AD149" s="18"/>
      <c r="AE149" s="17"/>
      <c r="AF149" s="17"/>
      <c r="AG149" s="22"/>
      <c r="AH149" s="23"/>
      <c r="AI149" s="17"/>
      <c r="AJ149" s="33"/>
      <c r="AK149" s="17"/>
      <c r="AL149" s="17"/>
      <c r="AM149" s="17"/>
    </row>
    <row r="150" spans="1:39" ht="12.75" customHeight="1">
      <c r="A150" s="20"/>
      <c r="B150" s="20"/>
      <c r="C150" s="17"/>
      <c r="D150" s="18"/>
      <c r="E150" s="17"/>
      <c r="F150" s="17"/>
      <c r="G150" s="22"/>
      <c r="H150" s="23"/>
      <c r="I150" s="17"/>
      <c r="J150" s="33"/>
      <c r="K150" s="17"/>
      <c r="L150" s="17"/>
      <c r="M150" s="17"/>
      <c r="N150" s="20"/>
      <c r="O150" s="20"/>
      <c r="P150" s="17"/>
      <c r="Q150" s="18"/>
      <c r="R150" s="17"/>
      <c r="S150" s="17"/>
      <c r="T150" s="22"/>
      <c r="U150" s="23"/>
      <c r="V150" s="17"/>
      <c r="W150" s="33"/>
      <c r="X150" s="17"/>
      <c r="Y150" s="17"/>
      <c r="Z150" s="17"/>
      <c r="AA150" s="20"/>
      <c r="AB150" s="20"/>
      <c r="AC150" s="17"/>
      <c r="AD150" s="18"/>
      <c r="AE150" s="17"/>
      <c r="AF150" s="17"/>
      <c r="AG150" s="22"/>
      <c r="AH150" s="23"/>
      <c r="AI150" s="17"/>
      <c r="AJ150" s="33"/>
      <c r="AK150" s="17"/>
      <c r="AL150" s="17"/>
      <c r="AM150" s="17"/>
    </row>
    <row r="151" spans="1:39" ht="12.75" customHeight="1">
      <c r="A151" s="20"/>
      <c r="B151" s="20"/>
      <c r="C151" s="17"/>
      <c r="D151" s="18"/>
      <c r="E151" s="17"/>
      <c r="F151" s="17"/>
      <c r="G151" s="22"/>
      <c r="H151" s="23"/>
      <c r="I151" s="17"/>
      <c r="J151" s="33"/>
      <c r="K151" s="17"/>
      <c r="L151" s="17"/>
      <c r="M151" s="17"/>
      <c r="N151" s="20"/>
      <c r="O151" s="20"/>
      <c r="P151" s="17"/>
      <c r="Q151" s="18"/>
      <c r="R151" s="17"/>
      <c r="S151" s="17"/>
      <c r="T151" s="22"/>
      <c r="U151" s="23"/>
      <c r="V151" s="17"/>
      <c r="W151" s="33"/>
      <c r="X151" s="17"/>
      <c r="Y151" s="17"/>
      <c r="Z151" s="17"/>
      <c r="AA151" s="20"/>
      <c r="AB151" s="20"/>
      <c r="AC151" s="17"/>
      <c r="AD151" s="18"/>
      <c r="AE151" s="17"/>
      <c r="AF151" s="17"/>
      <c r="AG151" s="22"/>
      <c r="AH151" s="23"/>
      <c r="AI151" s="17"/>
      <c r="AJ151" s="33"/>
      <c r="AK151" s="17"/>
      <c r="AL151" s="17"/>
      <c r="AM151" s="17"/>
    </row>
    <row r="152" spans="1:39" ht="12.75" customHeight="1">
      <c r="A152" s="20"/>
      <c r="B152" s="20"/>
      <c r="C152" s="17"/>
      <c r="D152" s="18"/>
      <c r="E152" s="17"/>
      <c r="F152" s="17"/>
      <c r="G152" s="22"/>
      <c r="H152" s="23"/>
      <c r="I152" s="17"/>
      <c r="J152" s="33"/>
      <c r="K152" s="17"/>
      <c r="L152" s="17"/>
      <c r="M152" s="17"/>
      <c r="N152" s="20"/>
      <c r="O152" s="20"/>
      <c r="P152" s="17"/>
      <c r="Q152" s="18"/>
      <c r="R152" s="17"/>
      <c r="S152" s="17"/>
      <c r="T152" s="22"/>
      <c r="U152" s="23"/>
      <c r="V152" s="17"/>
      <c r="W152" s="33"/>
      <c r="X152" s="17"/>
      <c r="Y152" s="17"/>
      <c r="Z152" s="17"/>
      <c r="AA152" s="20"/>
      <c r="AB152" s="20"/>
      <c r="AC152" s="17"/>
      <c r="AD152" s="18"/>
      <c r="AE152" s="17"/>
      <c r="AF152" s="17"/>
      <c r="AG152" s="22"/>
      <c r="AH152" s="23"/>
      <c r="AI152" s="17"/>
      <c r="AJ152" s="33"/>
      <c r="AK152" s="17"/>
      <c r="AL152" s="17"/>
      <c r="AM152" s="17"/>
    </row>
    <row r="153" spans="1:39" ht="12.75" customHeight="1">
      <c r="A153" s="20"/>
      <c r="B153" s="20"/>
      <c r="C153" s="17"/>
      <c r="D153" s="18"/>
      <c r="E153" s="17"/>
      <c r="F153" s="17"/>
      <c r="G153" s="22"/>
      <c r="H153" s="23"/>
      <c r="I153" s="17"/>
      <c r="J153" s="33"/>
      <c r="K153" s="17"/>
      <c r="L153" s="17"/>
      <c r="M153" s="17"/>
      <c r="N153" s="20"/>
      <c r="O153" s="20"/>
      <c r="P153" s="17"/>
      <c r="Q153" s="18"/>
      <c r="R153" s="17"/>
      <c r="S153" s="17"/>
      <c r="T153" s="22"/>
      <c r="U153" s="23"/>
      <c r="V153" s="17"/>
      <c r="W153" s="33"/>
      <c r="X153" s="17"/>
      <c r="Y153" s="17"/>
      <c r="Z153" s="17"/>
      <c r="AA153" s="20"/>
      <c r="AB153" s="20"/>
      <c r="AC153" s="17"/>
      <c r="AD153" s="18"/>
      <c r="AE153" s="17"/>
      <c r="AF153" s="17"/>
      <c r="AG153" s="22"/>
      <c r="AH153" s="23"/>
      <c r="AI153" s="17"/>
      <c r="AJ153" s="33"/>
      <c r="AK153" s="17"/>
      <c r="AL153" s="17"/>
      <c r="AM153" s="17"/>
    </row>
    <row r="154" spans="1:39" ht="12.75" customHeight="1">
      <c r="A154" s="20"/>
      <c r="B154" s="20"/>
      <c r="C154" s="17"/>
      <c r="D154" s="18"/>
      <c r="E154" s="17"/>
      <c r="F154" s="17"/>
      <c r="G154" s="22"/>
      <c r="H154" s="23"/>
      <c r="I154" s="17"/>
      <c r="J154" s="33"/>
      <c r="K154" s="17"/>
      <c r="L154" s="17"/>
      <c r="M154" s="17"/>
      <c r="N154" s="20"/>
      <c r="O154" s="20"/>
      <c r="P154" s="17"/>
      <c r="Q154" s="18"/>
      <c r="R154" s="17"/>
      <c r="S154" s="17"/>
      <c r="T154" s="22"/>
      <c r="U154" s="23"/>
      <c r="V154" s="17"/>
      <c r="W154" s="33"/>
      <c r="X154" s="17"/>
      <c r="Y154" s="17"/>
      <c r="Z154" s="17"/>
      <c r="AA154" s="20"/>
      <c r="AB154" s="20"/>
      <c r="AC154" s="17"/>
      <c r="AD154" s="18"/>
      <c r="AE154" s="17"/>
      <c r="AF154" s="17"/>
      <c r="AG154" s="22"/>
      <c r="AH154" s="23"/>
      <c r="AI154" s="17"/>
      <c r="AJ154" s="33"/>
      <c r="AK154" s="17"/>
      <c r="AL154" s="17"/>
      <c r="AM154" s="17"/>
    </row>
    <row r="155" spans="1:39" ht="12.75" customHeight="1">
      <c r="A155" s="20"/>
      <c r="B155" s="20"/>
      <c r="C155" s="17"/>
      <c r="D155" s="18"/>
      <c r="E155" s="17"/>
      <c r="F155" s="17"/>
      <c r="G155" s="22"/>
      <c r="H155" s="23"/>
      <c r="I155" s="17"/>
      <c r="J155" s="33"/>
      <c r="K155" s="17"/>
      <c r="L155" s="17"/>
      <c r="M155" s="17"/>
      <c r="N155" s="20"/>
      <c r="O155" s="20"/>
      <c r="P155" s="17"/>
      <c r="Q155" s="18"/>
      <c r="R155" s="17"/>
      <c r="S155" s="17"/>
      <c r="T155" s="22"/>
      <c r="U155" s="23"/>
      <c r="V155" s="17"/>
      <c r="W155" s="33"/>
      <c r="X155" s="17"/>
      <c r="Y155" s="17"/>
      <c r="Z155" s="17"/>
      <c r="AA155" s="20"/>
      <c r="AB155" s="20"/>
      <c r="AC155" s="17"/>
      <c r="AD155" s="18"/>
      <c r="AE155" s="17"/>
      <c r="AF155" s="17"/>
      <c r="AG155" s="22"/>
      <c r="AH155" s="23"/>
      <c r="AI155" s="17"/>
      <c r="AJ155" s="33"/>
      <c r="AK155" s="17"/>
      <c r="AL155" s="17"/>
      <c r="AM155" s="17"/>
    </row>
    <row r="156" spans="1:39" ht="12.75" customHeight="1">
      <c r="A156" s="20"/>
      <c r="B156" s="20"/>
      <c r="C156" s="17"/>
      <c r="D156" s="18"/>
      <c r="E156" s="17"/>
      <c r="F156" s="17"/>
      <c r="G156" s="22"/>
      <c r="H156" s="23"/>
      <c r="I156" s="17"/>
      <c r="J156" s="33"/>
      <c r="K156" s="17"/>
      <c r="L156" s="17"/>
      <c r="M156" s="17"/>
      <c r="N156" s="20"/>
      <c r="O156" s="20"/>
      <c r="P156" s="17"/>
      <c r="Q156" s="18"/>
      <c r="R156" s="17"/>
      <c r="S156" s="17"/>
      <c r="T156" s="22"/>
      <c r="U156" s="23"/>
      <c r="V156" s="17"/>
      <c r="W156" s="33"/>
      <c r="X156" s="17"/>
      <c r="Y156" s="17"/>
      <c r="Z156" s="17"/>
      <c r="AA156" s="20"/>
      <c r="AB156" s="20"/>
      <c r="AC156" s="17"/>
      <c r="AD156" s="18"/>
      <c r="AE156" s="17"/>
      <c r="AF156" s="17"/>
      <c r="AG156" s="22"/>
      <c r="AH156" s="23"/>
      <c r="AI156" s="17"/>
      <c r="AJ156" s="33"/>
      <c r="AK156" s="17"/>
      <c r="AL156" s="17"/>
      <c r="AM156" s="17"/>
    </row>
    <row r="157" spans="1:39" ht="12.75" customHeight="1">
      <c r="A157" s="20"/>
      <c r="B157" s="20"/>
      <c r="C157" s="17"/>
      <c r="D157" s="17"/>
      <c r="E157" s="17"/>
      <c r="F157" s="17"/>
      <c r="G157" s="17"/>
      <c r="H157" s="17"/>
      <c r="I157" s="17"/>
      <c r="J157" s="33"/>
      <c r="K157" s="17"/>
      <c r="L157" s="17"/>
      <c r="M157" s="17"/>
      <c r="N157" s="20"/>
      <c r="O157" s="20"/>
      <c r="P157" s="17"/>
      <c r="Q157" s="17"/>
      <c r="R157" s="17"/>
      <c r="S157" s="17"/>
      <c r="T157" s="17"/>
      <c r="U157" s="17"/>
      <c r="V157" s="17"/>
      <c r="W157" s="33"/>
      <c r="X157" s="17"/>
      <c r="Y157" s="17"/>
      <c r="Z157" s="17"/>
      <c r="AA157" s="20"/>
      <c r="AB157" s="20"/>
      <c r="AC157" s="17"/>
      <c r="AD157" s="17"/>
      <c r="AE157" s="17"/>
      <c r="AF157" s="17"/>
      <c r="AG157" s="17"/>
      <c r="AH157" s="17"/>
      <c r="AI157" s="17"/>
      <c r="AJ157" s="33"/>
      <c r="AK157" s="17"/>
      <c r="AL157" s="17"/>
      <c r="AM157" s="17"/>
    </row>
    <row r="158" spans="1:39" ht="12.75" customHeight="1">
      <c r="A158" s="20"/>
      <c r="B158" s="20"/>
      <c r="C158" s="17"/>
      <c r="D158" s="31"/>
      <c r="E158" s="25"/>
      <c r="F158" s="25"/>
      <c r="G158" s="25"/>
      <c r="H158" s="25"/>
      <c r="I158" s="26"/>
      <c r="J158" s="26"/>
      <c r="K158" s="26"/>
      <c r="L158" s="26"/>
      <c r="M158" s="26"/>
      <c r="N158" s="20"/>
      <c r="O158" s="20"/>
      <c r="P158" s="17"/>
      <c r="Q158" s="31"/>
      <c r="R158" s="25"/>
      <c r="S158" s="25"/>
      <c r="T158" s="25"/>
      <c r="U158" s="25"/>
      <c r="V158" s="26"/>
      <c r="W158" s="26"/>
      <c r="X158" s="26"/>
      <c r="Y158" s="26"/>
      <c r="Z158" s="26"/>
      <c r="AA158" s="20"/>
      <c r="AB158" s="20"/>
      <c r="AC158" s="17"/>
      <c r="AD158" s="31"/>
      <c r="AE158" s="25"/>
      <c r="AF158" s="25"/>
      <c r="AG158" s="25"/>
      <c r="AH158" s="25"/>
      <c r="AI158" s="26"/>
      <c r="AJ158" s="26"/>
      <c r="AK158" s="26"/>
      <c r="AL158" s="26"/>
      <c r="AM158" s="26"/>
    </row>
    <row r="159" spans="1:39" ht="12.75" customHeight="1">
      <c r="A159" s="20"/>
      <c r="C159" s="17"/>
      <c r="D159" s="25"/>
      <c r="E159" s="25"/>
      <c r="F159" s="25"/>
      <c r="G159" s="25"/>
      <c r="H159" s="25"/>
      <c r="I159" s="26"/>
      <c r="J159" s="26"/>
      <c r="K159" s="26"/>
      <c r="L159" s="26"/>
      <c r="M159" s="26"/>
      <c r="N159" s="20"/>
      <c r="P159" s="17"/>
      <c r="Q159" s="25"/>
      <c r="R159" s="25"/>
      <c r="S159" s="25"/>
      <c r="T159" s="25"/>
      <c r="U159" s="25"/>
      <c r="V159" s="26"/>
      <c r="W159" s="26"/>
      <c r="X159" s="26"/>
      <c r="Y159" s="26"/>
      <c r="Z159" s="26"/>
      <c r="AA159" s="20"/>
      <c r="AC159" s="17"/>
      <c r="AD159" s="25"/>
      <c r="AE159" s="25"/>
      <c r="AF159" s="25"/>
      <c r="AG159" s="25"/>
      <c r="AH159" s="25"/>
      <c r="AI159" s="26"/>
      <c r="AJ159" s="26"/>
      <c r="AK159" s="26"/>
      <c r="AL159" s="26"/>
      <c r="AM159" s="26"/>
    </row>
    <row r="160" spans="3:39" ht="12.75" customHeight="1">
      <c r="C160" s="17"/>
      <c r="D160" s="17"/>
      <c r="E160" s="12"/>
      <c r="F160" s="12"/>
      <c r="G160" s="17"/>
      <c r="H160" s="25"/>
      <c r="I160" s="25"/>
      <c r="J160" s="26"/>
      <c r="K160" s="26"/>
      <c r="L160" s="26"/>
      <c r="M160" s="26"/>
      <c r="P160" s="17"/>
      <c r="Q160" s="17"/>
      <c r="R160" s="12"/>
      <c r="S160" s="12"/>
      <c r="T160" s="17"/>
      <c r="U160" s="25"/>
      <c r="V160" s="25"/>
      <c r="W160" s="26"/>
      <c r="X160" s="26"/>
      <c r="Y160" s="26"/>
      <c r="Z160" s="26"/>
      <c r="AC160" s="17"/>
      <c r="AD160" s="17"/>
      <c r="AE160" s="12"/>
      <c r="AF160" s="12"/>
      <c r="AG160" s="17"/>
      <c r="AH160" s="25"/>
      <c r="AI160" s="25"/>
      <c r="AJ160" s="26"/>
      <c r="AK160" s="26"/>
      <c r="AL160" s="26"/>
      <c r="AM160" s="26"/>
    </row>
    <row r="161" spans="3:39" ht="12.75" customHeight="1">
      <c r="C161" s="17"/>
      <c r="D161" s="25"/>
      <c r="E161" s="25"/>
      <c r="F161" s="25"/>
      <c r="G161" s="25"/>
      <c r="H161" s="25"/>
      <c r="I161" s="26"/>
      <c r="J161" s="26"/>
      <c r="K161" s="26"/>
      <c r="L161" s="26"/>
      <c r="M161" s="26"/>
      <c r="P161" s="17"/>
      <c r="Q161" s="25"/>
      <c r="R161" s="25"/>
      <c r="S161" s="25"/>
      <c r="T161" s="25"/>
      <c r="U161" s="25"/>
      <c r="V161" s="26"/>
      <c r="W161" s="26"/>
      <c r="X161" s="26"/>
      <c r="Y161" s="26"/>
      <c r="Z161" s="26"/>
      <c r="AC161" s="17"/>
      <c r="AD161" s="25"/>
      <c r="AE161" s="25"/>
      <c r="AF161" s="25"/>
      <c r="AG161" s="25"/>
      <c r="AH161" s="25"/>
      <c r="AI161" s="26"/>
      <c r="AJ161" s="26"/>
      <c r="AK161" s="26"/>
      <c r="AL161" s="26"/>
      <c r="AM161" s="26"/>
    </row>
    <row r="162" spans="3:39" ht="12.75" customHeight="1">
      <c r="C162" s="17"/>
      <c r="D162" s="25"/>
      <c r="E162" s="25"/>
      <c r="F162" s="25"/>
      <c r="G162" s="25"/>
      <c r="H162" s="25"/>
      <c r="I162" s="26"/>
      <c r="J162" s="26"/>
      <c r="K162" s="26"/>
      <c r="L162" s="26"/>
      <c r="M162" s="26"/>
      <c r="P162" s="17"/>
      <c r="Q162" s="25"/>
      <c r="R162" s="25"/>
      <c r="S162" s="25"/>
      <c r="T162" s="25"/>
      <c r="U162" s="25"/>
      <c r="V162" s="26"/>
      <c r="W162" s="26"/>
      <c r="X162" s="26"/>
      <c r="Y162" s="26"/>
      <c r="Z162" s="26"/>
      <c r="AC162" s="17"/>
      <c r="AD162" s="25"/>
      <c r="AE162" s="25"/>
      <c r="AF162" s="25"/>
      <c r="AG162" s="25"/>
      <c r="AH162" s="25"/>
      <c r="AI162" s="26"/>
      <c r="AJ162" s="26"/>
      <c r="AK162" s="26"/>
      <c r="AL162" s="26"/>
      <c r="AM162" s="26"/>
    </row>
    <row r="163" spans="3:39" ht="12.75" customHeight="1">
      <c r="C163" s="17"/>
      <c r="D163" s="25"/>
      <c r="E163" s="25"/>
      <c r="F163" s="25"/>
      <c r="G163" s="25"/>
      <c r="H163" s="25"/>
      <c r="I163" s="26"/>
      <c r="J163" s="26"/>
      <c r="K163" s="26"/>
      <c r="L163" s="26"/>
      <c r="M163" s="26"/>
      <c r="P163" s="17"/>
      <c r="Q163" s="25"/>
      <c r="R163" s="25"/>
      <c r="S163" s="25"/>
      <c r="T163" s="25"/>
      <c r="U163" s="25"/>
      <c r="V163" s="26"/>
      <c r="W163" s="26"/>
      <c r="X163" s="26"/>
      <c r="Y163" s="26"/>
      <c r="Z163" s="26"/>
      <c r="AC163" s="17"/>
      <c r="AD163" s="25"/>
      <c r="AE163" s="25"/>
      <c r="AF163" s="25"/>
      <c r="AG163" s="25"/>
      <c r="AH163" s="25"/>
      <c r="AI163" s="26"/>
      <c r="AJ163" s="26"/>
      <c r="AK163" s="26"/>
      <c r="AL163" s="26"/>
      <c r="AM163" s="26"/>
    </row>
    <row r="164" spans="3:39" ht="12.75" customHeight="1">
      <c r="C164" s="17"/>
      <c r="D164" s="24"/>
      <c r="E164" s="25"/>
      <c r="F164" s="25"/>
      <c r="G164" s="17"/>
      <c r="H164" s="17"/>
      <c r="I164" s="25"/>
      <c r="J164" s="26"/>
      <c r="K164" s="26"/>
      <c r="L164" s="26"/>
      <c r="M164" s="26"/>
      <c r="P164" s="17"/>
      <c r="Q164" s="24"/>
      <c r="R164" s="25"/>
      <c r="S164" s="25"/>
      <c r="T164" s="17"/>
      <c r="U164" s="17"/>
      <c r="V164" s="25"/>
      <c r="W164" s="26"/>
      <c r="X164" s="26"/>
      <c r="Y164" s="26"/>
      <c r="Z164" s="26"/>
      <c r="AC164" s="17"/>
      <c r="AD164" s="24"/>
      <c r="AE164" s="25"/>
      <c r="AF164" s="25"/>
      <c r="AG164" s="17"/>
      <c r="AH164" s="17"/>
      <c r="AI164" s="25"/>
      <c r="AJ164" s="26"/>
      <c r="AK164" s="26"/>
      <c r="AL164" s="26"/>
      <c r="AM164" s="26"/>
    </row>
    <row r="165" spans="3:39" ht="12.75" customHeight="1">
      <c r="C165" s="17"/>
      <c r="D165" s="17"/>
      <c r="E165" s="25"/>
      <c r="F165" s="25"/>
      <c r="G165" s="25"/>
      <c r="H165" s="17"/>
      <c r="I165" s="26"/>
      <c r="J165" s="26"/>
      <c r="K165" s="26"/>
      <c r="L165" s="26"/>
      <c r="M165" s="26"/>
      <c r="P165" s="17"/>
      <c r="Q165" s="17"/>
      <c r="R165" s="25"/>
      <c r="S165" s="25"/>
      <c r="T165" s="25"/>
      <c r="U165" s="17"/>
      <c r="V165" s="26"/>
      <c r="W165" s="26"/>
      <c r="X165" s="26"/>
      <c r="Y165" s="26"/>
      <c r="Z165" s="26"/>
      <c r="AC165" s="17"/>
      <c r="AD165" s="17"/>
      <c r="AE165" s="25"/>
      <c r="AF165" s="25"/>
      <c r="AG165" s="25"/>
      <c r="AH165" s="17"/>
      <c r="AI165" s="26"/>
      <c r="AJ165" s="26"/>
      <c r="AK165" s="26"/>
      <c r="AL165" s="26"/>
      <c r="AM165" s="26"/>
    </row>
    <row r="166" spans="3:39" ht="12.75" customHeight="1">
      <c r="C166" s="17"/>
      <c r="D166" s="25"/>
      <c r="E166" s="25"/>
      <c r="F166" s="25"/>
      <c r="G166" s="18"/>
      <c r="H166" s="25"/>
      <c r="I166" s="26"/>
      <c r="J166" s="26"/>
      <c r="K166" s="26"/>
      <c r="L166" s="26"/>
      <c r="M166" s="26"/>
      <c r="P166" s="17"/>
      <c r="Q166" s="25"/>
      <c r="R166" s="25"/>
      <c r="S166" s="25"/>
      <c r="T166" s="18"/>
      <c r="U166" s="25"/>
      <c r="V166" s="26"/>
      <c r="W166" s="26"/>
      <c r="X166" s="26"/>
      <c r="Y166" s="26"/>
      <c r="Z166" s="26"/>
      <c r="AC166" s="17"/>
      <c r="AD166" s="25"/>
      <c r="AE166" s="25"/>
      <c r="AF166" s="25"/>
      <c r="AG166" s="18"/>
      <c r="AH166" s="25"/>
      <c r="AI166" s="26"/>
      <c r="AJ166" s="26"/>
      <c r="AK166" s="26"/>
      <c r="AL166" s="26"/>
      <c r="AM166" s="26"/>
    </row>
    <row r="167" spans="3:39" ht="12.75" customHeight="1">
      <c r="C167" s="17"/>
      <c r="D167" s="25"/>
      <c r="E167" s="25"/>
      <c r="F167" s="25"/>
      <c r="G167" s="25"/>
      <c r="H167" s="25"/>
      <c r="I167" s="25"/>
      <c r="J167" s="26"/>
      <c r="K167" s="26"/>
      <c r="L167" s="26"/>
      <c r="M167" s="26"/>
      <c r="P167" s="17"/>
      <c r="Q167" s="25"/>
      <c r="R167" s="25"/>
      <c r="S167" s="25"/>
      <c r="T167" s="25"/>
      <c r="U167" s="25"/>
      <c r="V167" s="25"/>
      <c r="W167" s="26"/>
      <c r="X167" s="26"/>
      <c r="Y167" s="26"/>
      <c r="Z167" s="26"/>
      <c r="AC167" s="17"/>
      <c r="AD167" s="25"/>
      <c r="AE167" s="25"/>
      <c r="AF167" s="25"/>
      <c r="AG167" s="25"/>
      <c r="AH167" s="25"/>
      <c r="AI167" s="25"/>
      <c r="AJ167" s="26"/>
      <c r="AK167" s="26"/>
      <c r="AL167" s="26"/>
      <c r="AM167" s="26"/>
    </row>
    <row r="168" spans="3:39" ht="12.75" customHeight="1">
      <c r="C168" s="12"/>
      <c r="D168" s="25"/>
      <c r="E168" s="25"/>
      <c r="F168" s="25"/>
      <c r="G168" s="19"/>
      <c r="H168" s="25"/>
      <c r="I168" s="25"/>
      <c r="J168" s="26"/>
      <c r="K168" s="26"/>
      <c r="L168" s="26"/>
      <c r="M168" s="26"/>
      <c r="P168" s="12"/>
      <c r="Q168" s="25"/>
      <c r="R168" s="25"/>
      <c r="S168" s="25"/>
      <c r="T168" s="19"/>
      <c r="U168" s="25"/>
      <c r="V168" s="25"/>
      <c r="W168" s="26"/>
      <c r="X168" s="26"/>
      <c r="Y168" s="26"/>
      <c r="Z168" s="26"/>
      <c r="AC168" s="12"/>
      <c r="AD168" s="25"/>
      <c r="AE168" s="25"/>
      <c r="AF168" s="25"/>
      <c r="AG168" s="19"/>
      <c r="AH168" s="25"/>
      <c r="AI168" s="25"/>
      <c r="AJ168" s="26"/>
      <c r="AK168" s="26"/>
      <c r="AL168" s="26"/>
      <c r="AM168" s="26"/>
    </row>
    <row r="169" spans="3:39" ht="12.75" customHeight="1">
      <c r="C169" s="12"/>
      <c r="D169" s="12"/>
      <c r="E169" s="12"/>
      <c r="F169" s="12"/>
      <c r="G169" s="12"/>
      <c r="H169" s="12"/>
      <c r="I169" s="26"/>
      <c r="J169" s="26"/>
      <c r="K169" s="26"/>
      <c r="L169" s="26"/>
      <c r="M169" s="26"/>
      <c r="P169" s="12"/>
      <c r="Q169" s="12"/>
      <c r="R169" s="12"/>
      <c r="S169" s="12"/>
      <c r="T169" s="12"/>
      <c r="U169" s="12"/>
      <c r="V169" s="26"/>
      <c r="W169" s="26"/>
      <c r="X169" s="26"/>
      <c r="Y169" s="26"/>
      <c r="Z169" s="26"/>
      <c r="AC169" s="12"/>
      <c r="AD169" s="12"/>
      <c r="AE169" s="12"/>
      <c r="AF169" s="12"/>
      <c r="AG169" s="12"/>
      <c r="AH169" s="12"/>
      <c r="AI169" s="26"/>
      <c r="AJ169" s="26"/>
      <c r="AK169" s="26"/>
      <c r="AL169" s="26"/>
      <c r="AM169" s="26"/>
    </row>
    <row r="170" spans="3:39" ht="12.75" customHeight="1">
      <c r="C170" s="12"/>
      <c r="D170" s="31"/>
      <c r="E170" s="25"/>
      <c r="F170" s="25"/>
      <c r="G170" s="25"/>
      <c r="H170" s="25"/>
      <c r="I170" s="26"/>
      <c r="J170" s="26"/>
      <c r="K170" s="26"/>
      <c r="L170" s="26"/>
      <c r="M170" s="26"/>
      <c r="P170" s="12"/>
      <c r="Q170" s="31"/>
      <c r="R170" s="25"/>
      <c r="S170" s="25"/>
      <c r="T170" s="25"/>
      <c r="U170" s="25"/>
      <c r="V170" s="26"/>
      <c r="W170" s="26"/>
      <c r="X170" s="26"/>
      <c r="Y170" s="26"/>
      <c r="Z170" s="26"/>
      <c r="AC170" s="12"/>
      <c r="AD170" s="31"/>
      <c r="AE170" s="25"/>
      <c r="AF170" s="25"/>
      <c r="AG170" s="25"/>
      <c r="AH170" s="25"/>
      <c r="AI170" s="26"/>
      <c r="AJ170" s="26"/>
      <c r="AK170" s="26"/>
      <c r="AL170" s="26"/>
      <c r="AM170" s="26"/>
    </row>
    <row r="171" spans="3:39" ht="12.75" customHeight="1">
      <c r="C171" s="12"/>
      <c r="D171" s="25"/>
      <c r="E171" s="25"/>
      <c r="F171" s="25"/>
      <c r="G171" s="25"/>
      <c r="H171" s="25"/>
      <c r="I171" s="26"/>
      <c r="J171" s="26"/>
      <c r="K171" s="26"/>
      <c r="L171" s="26"/>
      <c r="M171" s="26"/>
      <c r="P171" s="12"/>
      <c r="Q171" s="25"/>
      <c r="R171" s="25"/>
      <c r="S171" s="25"/>
      <c r="T171" s="25"/>
      <c r="U171" s="25"/>
      <c r="V171" s="26"/>
      <c r="W171" s="26"/>
      <c r="X171" s="26"/>
      <c r="Y171" s="26"/>
      <c r="Z171" s="26"/>
      <c r="AC171" s="12"/>
      <c r="AD171" s="25"/>
      <c r="AE171" s="25"/>
      <c r="AF171" s="25"/>
      <c r="AG171" s="25"/>
      <c r="AH171" s="25"/>
      <c r="AI171" s="26"/>
      <c r="AJ171" s="26"/>
      <c r="AK171" s="26"/>
      <c r="AL171" s="26"/>
      <c r="AM171" s="26"/>
    </row>
    <row r="172" spans="3:39" ht="12.75" customHeight="1">
      <c r="C172" s="12"/>
      <c r="D172" s="25"/>
      <c r="E172" s="25"/>
      <c r="F172" s="25"/>
      <c r="G172" s="25"/>
      <c r="H172" s="25"/>
      <c r="I172" s="25"/>
      <c r="J172" s="26"/>
      <c r="K172" s="26"/>
      <c r="L172" s="26"/>
      <c r="M172" s="26"/>
      <c r="P172" s="12"/>
      <c r="Q172" s="25"/>
      <c r="R172" s="25"/>
      <c r="S172" s="25"/>
      <c r="T172" s="25"/>
      <c r="U172" s="25"/>
      <c r="V172" s="25"/>
      <c r="W172" s="26"/>
      <c r="X172" s="26"/>
      <c r="Y172" s="26"/>
      <c r="Z172" s="26"/>
      <c r="AC172" s="12"/>
      <c r="AD172" s="25"/>
      <c r="AE172" s="25"/>
      <c r="AF172" s="25"/>
      <c r="AG172" s="25"/>
      <c r="AH172" s="25"/>
      <c r="AI172" s="25"/>
      <c r="AJ172" s="26"/>
      <c r="AK172" s="26"/>
      <c r="AL172" s="26"/>
      <c r="AM172" s="26"/>
    </row>
    <row r="173" spans="3:39" ht="12.75" customHeight="1">
      <c r="C173" s="12"/>
      <c r="D173" s="25"/>
      <c r="E173" s="25"/>
      <c r="F173" s="25"/>
      <c r="G173" s="25"/>
      <c r="H173" s="25"/>
      <c r="I173" s="25"/>
      <c r="J173" s="26"/>
      <c r="K173" s="26"/>
      <c r="L173" s="26"/>
      <c r="M173" s="26"/>
      <c r="P173" s="12"/>
      <c r="Q173" s="25"/>
      <c r="R173" s="25"/>
      <c r="S173" s="25"/>
      <c r="T173" s="25"/>
      <c r="U173" s="25"/>
      <c r="V173" s="25"/>
      <c r="W173" s="26"/>
      <c r="X173" s="26"/>
      <c r="Y173" s="26"/>
      <c r="Z173" s="26"/>
      <c r="AC173" s="12"/>
      <c r="AD173" s="25"/>
      <c r="AE173" s="25"/>
      <c r="AF173" s="25"/>
      <c r="AG173" s="25"/>
      <c r="AH173" s="25"/>
      <c r="AI173" s="25"/>
      <c r="AJ173" s="26"/>
      <c r="AK173" s="26"/>
      <c r="AL173" s="26"/>
      <c r="AM173" s="26"/>
    </row>
    <row r="174" spans="3:39" ht="12.75" customHeight="1">
      <c r="C174" s="12"/>
      <c r="D174" s="25"/>
      <c r="E174" s="25"/>
      <c r="F174" s="25"/>
      <c r="G174" s="25"/>
      <c r="H174" s="25"/>
      <c r="I174" s="26"/>
      <c r="J174" s="26"/>
      <c r="K174" s="26"/>
      <c r="L174" s="26"/>
      <c r="M174" s="26"/>
      <c r="P174" s="12"/>
      <c r="Q174" s="25"/>
      <c r="R174" s="25"/>
      <c r="S174" s="25"/>
      <c r="T174" s="25"/>
      <c r="U174" s="25"/>
      <c r="V174" s="26"/>
      <c r="W174" s="26"/>
      <c r="X174" s="26"/>
      <c r="Y174" s="26"/>
      <c r="Z174" s="26"/>
      <c r="AC174" s="12"/>
      <c r="AD174" s="25"/>
      <c r="AE174" s="25"/>
      <c r="AF174" s="25"/>
      <c r="AG174" s="25"/>
      <c r="AH174" s="25"/>
      <c r="AI174" s="26"/>
      <c r="AJ174" s="26"/>
      <c r="AK174" s="26"/>
      <c r="AL174" s="26"/>
      <c r="AM174" s="26"/>
    </row>
    <row r="175" spans="3:39" ht="12.75" customHeight="1">
      <c r="C175" s="12"/>
      <c r="D175" s="18"/>
      <c r="E175" s="25"/>
      <c r="F175" s="25"/>
      <c r="G175" s="25"/>
      <c r="H175" s="23"/>
      <c r="I175" s="26"/>
      <c r="J175" s="26"/>
      <c r="K175" s="26"/>
      <c r="L175" s="26"/>
      <c r="M175" s="26"/>
      <c r="P175" s="12"/>
      <c r="Q175" s="18"/>
      <c r="R175" s="25"/>
      <c r="S175" s="25"/>
      <c r="T175" s="25"/>
      <c r="U175" s="23"/>
      <c r="V175" s="26"/>
      <c r="W175" s="26"/>
      <c r="X175" s="26"/>
      <c r="Y175" s="26"/>
      <c r="Z175" s="26"/>
      <c r="AC175" s="12"/>
      <c r="AD175" s="18"/>
      <c r="AE175" s="25"/>
      <c r="AF175" s="25"/>
      <c r="AG175" s="25"/>
      <c r="AH175" s="23"/>
      <c r="AI175" s="26"/>
      <c r="AJ175" s="26"/>
      <c r="AK175" s="26"/>
      <c r="AL175" s="26"/>
      <c r="AM175" s="26"/>
    </row>
    <row r="176" spans="3:39" ht="12.75" customHeight="1">
      <c r="C176" s="12"/>
      <c r="D176" s="25"/>
      <c r="E176" s="12"/>
      <c r="F176" s="12"/>
      <c r="G176" s="25"/>
      <c r="H176" s="25"/>
      <c r="I176" s="26"/>
      <c r="J176" s="26"/>
      <c r="K176" s="26"/>
      <c r="L176" s="26"/>
      <c r="M176" s="26"/>
      <c r="P176" s="12"/>
      <c r="Q176" s="25"/>
      <c r="R176" s="12"/>
      <c r="S176" s="12"/>
      <c r="T176" s="25"/>
      <c r="U176" s="25"/>
      <c r="V176" s="26"/>
      <c r="W176" s="26"/>
      <c r="X176" s="26"/>
      <c r="Y176" s="26"/>
      <c r="Z176" s="26"/>
      <c r="AC176" s="12"/>
      <c r="AD176" s="25"/>
      <c r="AE176" s="12"/>
      <c r="AF176" s="12"/>
      <c r="AG176" s="25"/>
      <c r="AH176" s="25"/>
      <c r="AI176" s="26"/>
      <c r="AJ176" s="26"/>
      <c r="AK176" s="26"/>
      <c r="AL176" s="26"/>
      <c r="AM176" s="26"/>
    </row>
    <row r="177" spans="3:39" ht="12.75" customHeight="1">
      <c r="C177" s="12"/>
      <c r="D177" s="18"/>
      <c r="E177" s="25"/>
      <c r="F177" s="25"/>
      <c r="G177" s="25"/>
      <c r="H177" s="23"/>
      <c r="I177" s="26"/>
      <c r="J177" s="26"/>
      <c r="K177" s="26"/>
      <c r="L177" s="26"/>
      <c r="M177" s="26"/>
      <c r="P177" s="12"/>
      <c r="Q177" s="18"/>
      <c r="R177" s="25"/>
      <c r="S177" s="25"/>
      <c r="T177" s="25"/>
      <c r="U177" s="23"/>
      <c r="V177" s="26"/>
      <c r="W177" s="26"/>
      <c r="X177" s="26"/>
      <c r="Y177" s="26"/>
      <c r="Z177" s="26"/>
      <c r="AC177" s="12"/>
      <c r="AD177" s="18"/>
      <c r="AE177" s="25"/>
      <c r="AF177" s="25"/>
      <c r="AG177" s="25"/>
      <c r="AH177" s="23"/>
      <c r="AI177" s="26"/>
      <c r="AJ177" s="26"/>
      <c r="AK177" s="26"/>
      <c r="AL177" s="26"/>
      <c r="AM177" s="26"/>
    </row>
    <row r="178" spans="3:39" ht="12.75" customHeight="1">
      <c r="C178" s="12"/>
      <c r="D178" s="18"/>
      <c r="E178" s="31"/>
      <c r="F178" s="31"/>
      <c r="G178" s="31"/>
      <c r="H178" s="34"/>
      <c r="I178" s="25"/>
      <c r="J178" s="12"/>
      <c r="K178" s="12"/>
      <c r="L178" s="12"/>
      <c r="M178" s="12"/>
      <c r="P178" s="12"/>
      <c r="Q178" s="18"/>
      <c r="R178" s="31"/>
      <c r="S178" s="31"/>
      <c r="T178" s="31"/>
      <c r="U178" s="34"/>
      <c r="V178" s="25"/>
      <c r="W178" s="12"/>
      <c r="X178" s="12"/>
      <c r="Y178" s="12"/>
      <c r="Z178" s="12"/>
      <c r="AC178" s="12"/>
      <c r="AD178" s="18"/>
      <c r="AE178" s="31"/>
      <c r="AF178" s="31"/>
      <c r="AG178" s="31"/>
      <c r="AH178" s="34"/>
      <c r="AI178" s="25"/>
      <c r="AJ178" s="12"/>
      <c r="AK178" s="12"/>
      <c r="AL178" s="12"/>
      <c r="AM178" s="12"/>
    </row>
    <row r="179" spans="3:39" ht="12.75" customHeight="1">
      <c r="C179" s="12"/>
      <c r="D179" s="12"/>
      <c r="E179" s="12"/>
      <c r="F179" s="12"/>
      <c r="G179" s="12"/>
      <c r="H179" s="12"/>
      <c r="I179" s="26"/>
      <c r="J179" s="26"/>
      <c r="K179" s="26"/>
      <c r="L179" s="26"/>
      <c r="M179" s="26"/>
      <c r="P179" s="12"/>
      <c r="Q179" s="12"/>
      <c r="R179" s="12"/>
      <c r="S179" s="12"/>
      <c r="T179" s="12"/>
      <c r="U179" s="12"/>
      <c r="V179" s="26"/>
      <c r="W179" s="26"/>
      <c r="X179" s="26"/>
      <c r="Y179" s="26"/>
      <c r="Z179" s="26"/>
      <c r="AC179" s="12"/>
      <c r="AD179" s="12"/>
      <c r="AE179" s="12"/>
      <c r="AF179" s="12"/>
      <c r="AG179" s="12"/>
      <c r="AH179" s="12"/>
      <c r="AI179" s="26"/>
      <c r="AJ179" s="26"/>
      <c r="AK179" s="26"/>
      <c r="AL179" s="26"/>
      <c r="AM179" s="26"/>
    </row>
    <row r="180" spans="3:39" ht="12.75" customHeight="1">
      <c r="C180" s="12"/>
      <c r="D180" s="31"/>
      <c r="E180" s="25"/>
      <c r="F180" s="25"/>
      <c r="G180" s="25"/>
      <c r="H180" s="25"/>
      <c r="I180" s="26"/>
      <c r="J180" s="26"/>
      <c r="K180" s="26"/>
      <c r="L180" s="26"/>
      <c r="M180" s="26"/>
      <c r="P180" s="12"/>
      <c r="Q180" s="31"/>
      <c r="R180" s="25"/>
      <c r="S180" s="25"/>
      <c r="T180" s="25"/>
      <c r="U180" s="25"/>
      <c r="V180" s="26"/>
      <c r="W180" s="26"/>
      <c r="X180" s="26"/>
      <c r="Y180" s="26"/>
      <c r="Z180" s="26"/>
      <c r="AC180" s="12"/>
      <c r="AD180" s="31"/>
      <c r="AE180" s="25"/>
      <c r="AF180" s="25"/>
      <c r="AG180" s="25"/>
      <c r="AH180" s="25"/>
      <c r="AI180" s="26"/>
      <c r="AJ180" s="26"/>
      <c r="AK180" s="26"/>
      <c r="AL180" s="26"/>
      <c r="AM180" s="26"/>
    </row>
    <row r="181" spans="3:39" ht="12.75" customHeight="1">
      <c r="C181" s="12"/>
      <c r="D181" s="25"/>
      <c r="E181" s="26"/>
      <c r="F181" s="26"/>
      <c r="G181" s="25"/>
      <c r="H181" s="25"/>
      <c r="I181" s="26"/>
      <c r="J181" s="26"/>
      <c r="K181" s="26"/>
      <c r="L181" s="26"/>
      <c r="M181" s="26"/>
      <c r="P181" s="12"/>
      <c r="Q181" s="25"/>
      <c r="R181" s="26"/>
      <c r="S181" s="26"/>
      <c r="T181" s="25"/>
      <c r="U181" s="25"/>
      <c r="V181" s="26"/>
      <c r="W181" s="26"/>
      <c r="X181" s="26"/>
      <c r="Y181" s="26"/>
      <c r="Z181" s="26"/>
      <c r="AC181" s="12"/>
      <c r="AD181" s="25"/>
      <c r="AE181" s="26"/>
      <c r="AF181" s="26"/>
      <c r="AG181" s="25"/>
      <c r="AH181" s="25"/>
      <c r="AI181" s="26"/>
      <c r="AJ181" s="26"/>
      <c r="AK181" s="26"/>
      <c r="AL181" s="26"/>
      <c r="AM181" s="26"/>
    </row>
    <row r="182" spans="3:39" ht="12.75" customHeight="1">
      <c r="C182" s="12"/>
      <c r="D182" s="25"/>
      <c r="E182" s="26"/>
      <c r="F182" s="26"/>
      <c r="G182" s="25"/>
      <c r="H182" s="25"/>
      <c r="I182" s="12"/>
      <c r="J182" s="26"/>
      <c r="K182" s="12"/>
      <c r="L182" s="12"/>
      <c r="M182" s="12"/>
      <c r="P182" s="12"/>
      <c r="Q182" s="25"/>
      <c r="R182" s="26"/>
      <c r="S182" s="26"/>
      <c r="T182" s="25"/>
      <c r="U182" s="25"/>
      <c r="V182" s="12"/>
      <c r="W182" s="26"/>
      <c r="X182" s="12"/>
      <c r="Y182" s="12"/>
      <c r="Z182" s="12"/>
      <c r="AC182" s="12"/>
      <c r="AD182" s="25"/>
      <c r="AE182" s="26"/>
      <c r="AF182" s="26"/>
      <c r="AG182" s="25"/>
      <c r="AH182" s="25"/>
      <c r="AI182" s="12"/>
      <c r="AJ182" s="26"/>
      <c r="AK182" s="12"/>
      <c r="AL182" s="12"/>
      <c r="AM182" s="12"/>
    </row>
    <row r="183" spans="3:39" ht="12.75" customHeight="1">
      <c r="C183" s="12"/>
      <c r="D183" s="25"/>
      <c r="E183" s="26"/>
      <c r="F183" s="26"/>
      <c r="G183" s="25"/>
      <c r="H183" s="25"/>
      <c r="I183" s="25"/>
      <c r="J183" s="26"/>
      <c r="K183" s="26"/>
      <c r="L183" s="26"/>
      <c r="M183" s="26"/>
      <c r="P183" s="12"/>
      <c r="Q183" s="25"/>
      <c r="R183" s="26"/>
      <c r="S183" s="26"/>
      <c r="T183" s="25"/>
      <c r="U183" s="25"/>
      <c r="V183" s="25"/>
      <c r="W183" s="26"/>
      <c r="X183" s="26"/>
      <c r="Y183" s="26"/>
      <c r="Z183" s="26"/>
      <c r="AC183" s="12"/>
      <c r="AD183" s="25"/>
      <c r="AE183" s="26"/>
      <c r="AF183" s="26"/>
      <c r="AG183" s="25"/>
      <c r="AH183" s="25"/>
      <c r="AI183" s="25"/>
      <c r="AJ183" s="26"/>
      <c r="AK183" s="26"/>
      <c r="AL183" s="26"/>
      <c r="AM183" s="26"/>
    </row>
    <row r="184" spans="3:39" ht="12.75" customHeight="1">
      <c r="C184" s="12"/>
      <c r="D184" s="25"/>
      <c r="E184" s="26"/>
      <c r="F184" s="26"/>
      <c r="G184" s="25"/>
      <c r="H184" s="25"/>
      <c r="I184" s="26"/>
      <c r="J184" s="26"/>
      <c r="K184" s="26"/>
      <c r="L184" s="26"/>
      <c r="M184" s="26"/>
      <c r="P184" s="12"/>
      <c r="Q184" s="25"/>
      <c r="R184" s="26"/>
      <c r="S184" s="26"/>
      <c r="T184" s="25"/>
      <c r="U184" s="25"/>
      <c r="V184" s="26"/>
      <c r="W184" s="26"/>
      <c r="X184" s="26"/>
      <c r="Y184" s="26"/>
      <c r="Z184" s="26"/>
      <c r="AC184" s="12"/>
      <c r="AD184" s="25"/>
      <c r="AE184" s="26"/>
      <c r="AF184" s="26"/>
      <c r="AG184" s="25"/>
      <c r="AH184" s="25"/>
      <c r="AI184" s="26"/>
      <c r="AJ184" s="26"/>
      <c r="AK184" s="26"/>
      <c r="AL184" s="26"/>
      <c r="AM184" s="26"/>
    </row>
    <row r="185" spans="3:39" ht="12.75" customHeight="1">
      <c r="C185" s="12"/>
      <c r="D185" s="25"/>
      <c r="E185" s="26"/>
      <c r="F185" s="26"/>
      <c r="G185" s="25"/>
      <c r="H185" s="25"/>
      <c r="I185" s="26"/>
      <c r="J185" s="26"/>
      <c r="K185" s="26"/>
      <c r="L185" s="26"/>
      <c r="M185" s="26"/>
      <c r="P185" s="12"/>
      <c r="Q185" s="25"/>
      <c r="R185" s="26"/>
      <c r="S185" s="26"/>
      <c r="T185" s="25"/>
      <c r="U185" s="25"/>
      <c r="V185" s="26"/>
      <c r="W185" s="26"/>
      <c r="X185" s="26"/>
      <c r="Y185" s="26"/>
      <c r="Z185" s="26"/>
      <c r="AC185" s="12"/>
      <c r="AD185" s="25"/>
      <c r="AE185" s="26"/>
      <c r="AF185" s="26"/>
      <c r="AG185" s="25"/>
      <c r="AH185" s="25"/>
      <c r="AI185" s="26"/>
      <c r="AJ185" s="26"/>
      <c r="AK185" s="26"/>
      <c r="AL185" s="26"/>
      <c r="AM185" s="26"/>
    </row>
    <row r="186" spans="3:39" ht="12.75" customHeight="1">
      <c r="C186" s="12"/>
      <c r="D186" s="25"/>
      <c r="E186" s="26"/>
      <c r="F186" s="26"/>
      <c r="G186" s="25"/>
      <c r="H186" s="25"/>
      <c r="I186" s="26"/>
      <c r="J186" s="26"/>
      <c r="K186" s="26"/>
      <c r="L186" s="26"/>
      <c r="M186" s="26"/>
      <c r="P186" s="12"/>
      <c r="Q186" s="25"/>
      <c r="R186" s="26"/>
      <c r="S186" s="26"/>
      <c r="T186" s="25"/>
      <c r="U186" s="25"/>
      <c r="V186" s="26"/>
      <c r="W186" s="26"/>
      <c r="X186" s="26"/>
      <c r="Y186" s="26"/>
      <c r="Z186" s="26"/>
      <c r="AC186" s="12"/>
      <c r="AD186" s="25"/>
      <c r="AE186" s="26"/>
      <c r="AF186" s="26"/>
      <c r="AG186" s="25"/>
      <c r="AH186" s="25"/>
      <c r="AI186" s="26"/>
      <c r="AJ186" s="26"/>
      <c r="AK186" s="26"/>
      <c r="AL186" s="26"/>
      <c r="AM186" s="26"/>
    </row>
    <row r="187" spans="3:39" ht="12.75" customHeight="1">
      <c r="C187" s="12"/>
      <c r="D187" s="25"/>
      <c r="E187" s="26"/>
      <c r="F187" s="26"/>
      <c r="G187" s="25"/>
      <c r="H187" s="25"/>
      <c r="I187" s="26"/>
      <c r="J187" s="26"/>
      <c r="K187" s="26"/>
      <c r="L187" s="26"/>
      <c r="M187" s="26"/>
      <c r="P187" s="12"/>
      <c r="Q187" s="25"/>
      <c r="R187" s="26"/>
      <c r="S187" s="26"/>
      <c r="T187" s="25"/>
      <c r="U187" s="25"/>
      <c r="V187" s="26"/>
      <c r="W187" s="26"/>
      <c r="X187" s="26"/>
      <c r="Y187" s="26"/>
      <c r="Z187" s="26"/>
      <c r="AC187" s="12"/>
      <c r="AD187" s="25"/>
      <c r="AE187" s="26"/>
      <c r="AF187" s="26"/>
      <c r="AG187" s="25"/>
      <c r="AH187" s="25"/>
      <c r="AI187" s="26"/>
      <c r="AJ187" s="26"/>
      <c r="AK187" s="26"/>
      <c r="AL187" s="26"/>
      <c r="AM187" s="26"/>
    </row>
    <row r="188" spans="3:39" ht="12.75" customHeight="1">
      <c r="C188" s="12"/>
      <c r="D188" s="25"/>
      <c r="E188" s="26"/>
      <c r="F188" s="26"/>
      <c r="G188" s="25"/>
      <c r="H188" s="25"/>
      <c r="I188" s="26"/>
      <c r="J188" s="26"/>
      <c r="K188" s="26"/>
      <c r="L188" s="26"/>
      <c r="M188" s="26"/>
      <c r="P188" s="12"/>
      <c r="Q188" s="25"/>
      <c r="R188" s="26"/>
      <c r="S188" s="26"/>
      <c r="T188" s="25"/>
      <c r="U188" s="25"/>
      <c r="V188" s="26"/>
      <c r="W188" s="26"/>
      <c r="X188" s="26"/>
      <c r="Y188" s="26"/>
      <c r="Z188" s="26"/>
      <c r="AC188" s="12"/>
      <c r="AD188" s="25"/>
      <c r="AE188" s="26"/>
      <c r="AF188" s="26"/>
      <c r="AG188" s="25"/>
      <c r="AH188" s="25"/>
      <c r="AI188" s="26"/>
      <c r="AJ188" s="26"/>
      <c r="AK188" s="26"/>
      <c r="AL188" s="26"/>
      <c r="AM188" s="26"/>
    </row>
    <row r="189" spans="3:39" ht="12.75" customHeight="1">
      <c r="C189" s="12"/>
      <c r="D189" s="12"/>
      <c r="E189" s="12"/>
      <c r="F189" s="12"/>
      <c r="G189" s="12"/>
      <c r="H189" s="12"/>
      <c r="I189" s="26"/>
      <c r="J189" s="26"/>
      <c r="K189" s="26"/>
      <c r="L189" s="26"/>
      <c r="M189" s="26"/>
      <c r="P189" s="12"/>
      <c r="Q189" s="12"/>
      <c r="R189" s="12"/>
      <c r="S189" s="12"/>
      <c r="T189" s="12"/>
      <c r="U189" s="12"/>
      <c r="V189" s="26"/>
      <c r="W189" s="26"/>
      <c r="X189" s="26"/>
      <c r="Y189" s="26"/>
      <c r="Z189" s="26"/>
      <c r="AC189" s="12"/>
      <c r="AD189" s="12"/>
      <c r="AE189" s="12"/>
      <c r="AF189" s="12"/>
      <c r="AG189" s="12"/>
      <c r="AH189" s="12"/>
      <c r="AI189" s="26"/>
      <c r="AJ189" s="26"/>
      <c r="AK189" s="26"/>
      <c r="AL189" s="26"/>
      <c r="AM189" s="26"/>
    </row>
    <row r="190" spans="3:39" ht="12.75" customHeight="1">
      <c r="C190" s="12"/>
      <c r="D190" s="12"/>
      <c r="E190" s="12"/>
      <c r="F190" s="12"/>
      <c r="G190" s="12"/>
      <c r="H190" s="12"/>
      <c r="I190" s="26"/>
      <c r="J190" s="26"/>
      <c r="K190" s="26"/>
      <c r="L190" s="26"/>
      <c r="M190" s="26"/>
      <c r="P190" s="12"/>
      <c r="Q190" s="12"/>
      <c r="R190" s="12"/>
      <c r="S190" s="12"/>
      <c r="T190" s="12"/>
      <c r="U190" s="12"/>
      <c r="V190" s="26"/>
      <c r="W190" s="26"/>
      <c r="X190" s="26"/>
      <c r="Y190" s="26"/>
      <c r="Z190" s="26"/>
      <c r="AC190" s="12"/>
      <c r="AD190" s="12"/>
      <c r="AE190" s="12"/>
      <c r="AF190" s="12"/>
      <c r="AG190" s="12"/>
      <c r="AH190" s="12"/>
      <c r="AI190" s="26"/>
      <c r="AJ190" s="26"/>
      <c r="AK190" s="26"/>
      <c r="AL190" s="26"/>
      <c r="AM190" s="26"/>
    </row>
    <row r="191" spans="3:39" ht="12.75" customHeight="1">
      <c r="C191" s="12"/>
      <c r="D191" s="12"/>
      <c r="E191" s="12"/>
      <c r="F191" s="12"/>
      <c r="G191" s="12"/>
      <c r="H191" s="12"/>
      <c r="I191" s="26"/>
      <c r="J191" s="26"/>
      <c r="K191" s="26"/>
      <c r="L191" s="26"/>
      <c r="M191" s="26"/>
      <c r="P191" s="12"/>
      <c r="Q191" s="12"/>
      <c r="R191" s="12"/>
      <c r="S191" s="12"/>
      <c r="T191" s="12"/>
      <c r="U191" s="12"/>
      <c r="V191" s="26"/>
      <c r="W191" s="26"/>
      <c r="X191" s="26"/>
      <c r="Y191" s="26"/>
      <c r="Z191" s="26"/>
      <c r="AC191" s="12"/>
      <c r="AD191" s="12"/>
      <c r="AE191" s="12"/>
      <c r="AF191" s="12"/>
      <c r="AG191" s="12"/>
      <c r="AH191" s="12"/>
      <c r="AI191" s="26"/>
      <c r="AJ191" s="26"/>
      <c r="AK191" s="26"/>
      <c r="AL191" s="26"/>
      <c r="AM191" s="26"/>
    </row>
    <row r="192" spans="3:39" ht="12.75" customHeight="1">
      <c r="C192" s="12"/>
      <c r="D192" s="12"/>
      <c r="E192" s="12"/>
      <c r="F192" s="12"/>
      <c r="G192" s="12"/>
      <c r="H192" s="12"/>
      <c r="I192" s="26"/>
      <c r="J192" s="26"/>
      <c r="K192" s="26"/>
      <c r="L192" s="26"/>
      <c r="M192" s="26"/>
      <c r="P192" s="12"/>
      <c r="Q192" s="12"/>
      <c r="R192" s="12"/>
      <c r="S192" s="12"/>
      <c r="T192" s="12"/>
      <c r="U192" s="12"/>
      <c r="V192" s="26"/>
      <c r="W192" s="26"/>
      <c r="X192" s="26"/>
      <c r="Y192" s="26"/>
      <c r="Z192" s="26"/>
      <c r="AC192" s="12"/>
      <c r="AD192" s="12"/>
      <c r="AE192" s="12"/>
      <c r="AF192" s="12"/>
      <c r="AG192" s="12"/>
      <c r="AH192" s="12"/>
      <c r="AI192" s="26"/>
      <c r="AJ192" s="26"/>
      <c r="AK192" s="26"/>
      <c r="AL192" s="26"/>
      <c r="AM192" s="26"/>
    </row>
    <row r="193" spans="3:39" ht="12.75" customHeight="1">
      <c r="C193" s="12"/>
      <c r="D193" s="26"/>
      <c r="E193" s="26"/>
      <c r="F193" s="26"/>
      <c r="G193" s="26"/>
      <c r="H193" s="26"/>
      <c r="I193" s="26"/>
      <c r="J193" s="26"/>
      <c r="K193" s="26"/>
      <c r="L193" s="26"/>
      <c r="M193" s="26"/>
      <c r="P193" s="12"/>
      <c r="Q193" s="26"/>
      <c r="R193" s="26"/>
      <c r="S193" s="26"/>
      <c r="T193" s="26"/>
      <c r="U193" s="26"/>
      <c r="V193" s="26"/>
      <c r="W193" s="26"/>
      <c r="X193" s="26"/>
      <c r="Y193" s="26"/>
      <c r="Z193" s="26"/>
      <c r="AC193" s="12"/>
      <c r="AD193" s="26"/>
      <c r="AE193" s="26"/>
      <c r="AF193" s="26"/>
      <c r="AG193" s="26"/>
      <c r="AH193" s="26"/>
      <c r="AI193" s="26"/>
      <c r="AJ193" s="26"/>
      <c r="AK193" s="26"/>
      <c r="AL193" s="26"/>
      <c r="AM193" s="26"/>
    </row>
    <row r="194" spans="3:39" ht="12.75" customHeight="1">
      <c r="C194" s="12"/>
      <c r="D194" s="26"/>
      <c r="E194" s="26"/>
      <c r="F194" s="26"/>
      <c r="G194" s="26"/>
      <c r="H194" s="26"/>
      <c r="I194" s="26"/>
      <c r="J194" s="26"/>
      <c r="K194" s="26"/>
      <c r="L194" s="26"/>
      <c r="M194" s="26"/>
      <c r="P194" s="12"/>
      <c r="Q194" s="26"/>
      <c r="R194" s="26"/>
      <c r="S194" s="26"/>
      <c r="T194" s="26"/>
      <c r="U194" s="26"/>
      <c r="V194" s="26"/>
      <c r="W194" s="26"/>
      <c r="X194" s="26"/>
      <c r="Y194" s="26"/>
      <c r="Z194" s="26"/>
      <c r="AC194" s="12"/>
      <c r="AD194" s="26"/>
      <c r="AE194" s="26"/>
      <c r="AF194" s="26"/>
      <c r="AG194" s="26"/>
      <c r="AH194" s="26"/>
      <c r="AI194" s="26"/>
      <c r="AJ194" s="26"/>
      <c r="AK194" s="26"/>
      <c r="AL194" s="26"/>
      <c r="AM194" s="26"/>
    </row>
    <row r="195" spans="3:39" ht="12.75" customHeight="1">
      <c r="C195" s="12"/>
      <c r="D195" s="26"/>
      <c r="E195" s="26"/>
      <c r="F195" s="26"/>
      <c r="G195" s="26"/>
      <c r="H195" s="26"/>
      <c r="I195" s="26"/>
      <c r="J195" s="26"/>
      <c r="K195" s="26"/>
      <c r="L195" s="26"/>
      <c r="M195" s="26"/>
      <c r="P195" s="12"/>
      <c r="Q195" s="26"/>
      <c r="R195" s="26"/>
      <c r="S195" s="26"/>
      <c r="T195" s="26"/>
      <c r="U195" s="26"/>
      <c r="V195" s="26"/>
      <c r="W195" s="26"/>
      <c r="X195" s="26"/>
      <c r="Y195" s="26"/>
      <c r="Z195" s="26"/>
      <c r="AC195" s="12"/>
      <c r="AD195" s="26"/>
      <c r="AE195" s="26"/>
      <c r="AF195" s="26"/>
      <c r="AG195" s="26"/>
      <c r="AH195" s="26"/>
      <c r="AI195" s="26"/>
      <c r="AJ195" s="26"/>
      <c r="AK195" s="26"/>
      <c r="AL195" s="26"/>
      <c r="AM195" s="26"/>
    </row>
    <row r="196" spans="3:39" ht="12.75" customHeight="1">
      <c r="C196" s="12"/>
      <c r="D196" s="26"/>
      <c r="E196" s="26"/>
      <c r="F196" s="26"/>
      <c r="G196" s="26"/>
      <c r="H196" s="26"/>
      <c r="I196" s="26"/>
      <c r="J196" s="26"/>
      <c r="K196" s="26"/>
      <c r="L196" s="26"/>
      <c r="M196" s="26"/>
      <c r="P196" s="12"/>
      <c r="Q196" s="26"/>
      <c r="R196" s="26"/>
      <c r="S196" s="26"/>
      <c r="T196" s="26"/>
      <c r="U196" s="26"/>
      <c r="V196" s="26"/>
      <c r="W196" s="26"/>
      <c r="X196" s="26"/>
      <c r="Y196" s="26"/>
      <c r="Z196" s="26"/>
      <c r="AC196" s="12"/>
      <c r="AD196" s="26"/>
      <c r="AE196" s="26"/>
      <c r="AF196" s="26"/>
      <c r="AG196" s="26"/>
      <c r="AH196" s="26"/>
      <c r="AI196" s="26"/>
      <c r="AJ196" s="26"/>
      <c r="AK196" s="26"/>
      <c r="AL196" s="26"/>
      <c r="AM196" s="26"/>
    </row>
    <row r="197" spans="3:39" ht="12.75" customHeight="1">
      <c r="C197" s="12"/>
      <c r="D197" s="26"/>
      <c r="E197" s="26"/>
      <c r="F197" s="26"/>
      <c r="G197" s="26"/>
      <c r="H197" s="26"/>
      <c r="I197" s="26"/>
      <c r="J197" s="26"/>
      <c r="K197" s="26"/>
      <c r="L197" s="26"/>
      <c r="M197" s="26"/>
      <c r="P197" s="12"/>
      <c r="Q197" s="26"/>
      <c r="R197" s="26"/>
      <c r="S197" s="26"/>
      <c r="T197" s="26"/>
      <c r="U197" s="26"/>
      <c r="V197" s="26"/>
      <c r="W197" s="26"/>
      <c r="X197" s="26"/>
      <c r="Y197" s="26"/>
      <c r="Z197" s="26"/>
      <c r="AC197" s="12"/>
      <c r="AD197" s="26"/>
      <c r="AE197" s="26"/>
      <c r="AF197" s="26"/>
      <c r="AG197" s="26"/>
      <c r="AH197" s="26"/>
      <c r="AI197" s="26"/>
      <c r="AJ197" s="26"/>
      <c r="AK197" s="26"/>
      <c r="AL197" s="26"/>
      <c r="AM197" s="26"/>
    </row>
    <row r="198" spans="3:39" ht="12.75" customHeight="1">
      <c r="C198" s="12"/>
      <c r="D198" s="26"/>
      <c r="E198" s="26"/>
      <c r="F198" s="26"/>
      <c r="G198" s="26"/>
      <c r="H198" s="26"/>
      <c r="I198" s="26"/>
      <c r="J198" s="26"/>
      <c r="K198" s="26"/>
      <c r="L198" s="26"/>
      <c r="M198" s="26"/>
      <c r="P198" s="12"/>
      <c r="Q198" s="26"/>
      <c r="R198" s="26"/>
      <c r="S198" s="26"/>
      <c r="T198" s="26"/>
      <c r="U198" s="26"/>
      <c r="V198" s="26"/>
      <c r="W198" s="26"/>
      <c r="X198" s="26"/>
      <c r="Y198" s="26"/>
      <c r="Z198" s="26"/>
      <c r="AC198" s="12"/>
      <c r="AD198" s="26"/>
      <c r="AE198" s="26"/>
      <c r="AF198" s="26"/>
      <c r="AG198" s="26"/>
      <c r="AH198" s="26"/>
      <c r="AI198" s="26"/>
      <c r="AJ198" s="26"/>
      <c r="AK198" s="26"/>
      <c r="AL198" s="26"/>
      <c r="AM198" s="26"/>
    </row>
    <row r="199" spans="3:39" ht="12.75" customHeight="1">
      <c r="C199" s="12"/>
      <c r="D199" s="26"/>
      <c r="E199" s="26"/>
      <c r="F199" s="26"/>
      <c r="G199" s="26"/>
      <c r="H199" s="26"/>
      <c r="I199" s="26"/>
      <c r="J199" s="26"/>
      <c r="K199" s="26"/>
      <c r="L199" s="26"/>
      <c r="M199" s="26"/>
      <c r="P199" s="12"/>
      <c r="Q199" s="26"/>
      <c r="R199" s="26"/>
      <c r="S199" s="26"/>
      <c r="T199" s="26"/>
      <c r="U199" s="26"/>
      <c r="V199" s="26"/>
      <c r="W199" s="26"/>
      <c r="X199" s="26"/>
      <c r="Y199" s="26"/>
      <c r="Z199" s="26"/>
      <c r="AC199" s="12"/>
      <c r="AD199" s="26"/>
      <c r="AE199" s="26"/>
      <c r="AF199" s="26"/>
      <c r="AG199" s="26"/>
      <c r="AH199" s="26"/>
      <c r="AI199" s="26"/>
      <c r="AJ199" s="26"/>
      <c r="AK199" s="26"/>
      <c r="AL199" s="26"/>
      <c r="AM199" s="26"/>
    </row>
    <row r="200" spans="3:39" ht="12.75" customHeight="1">
      <c r="C200" s="12"/>
      <c r="D200" s="26"/>
      <c r="E200" s="26"/>
      <c r="F200" s="26"/>
      <c r="G200" s="26"/>
      <c r="H200" s="26"/>
      <c r="I200" s="26"/>
      <c r="J200" s="26"/>
      <c r="K200" s="26"/>
      <c r="L200" s="26"/>
      <c r="M200" s="26"/>
      <c r="P200" s="12"/>
      <c r="Q200" s="26"/>
      <c r="R200" s="26"/>
      <c r="S200" s="26"/>
      <c r="T200" s="26"/>
      <c r="U200" s="26"/>
      <c r="V200" s="26"/>
      <c r="W200" s="26"/>
      <c r="X200" s="26"/>
      <c r="Y200" s="26"/>
      <c r="Z200" s="26"/>
      <c r="AC200" s="12"/>
      <c r="AD200" s="26"/>
      <c r="AE200" s="26"/>
      <c r="AF200" s="26"/>
      <c r="AG200" s="26"/>
      <c r="AH200" s="26"/>
      <c r="AI200" s="26"/>
      <c r="AJ200" s="26"/>
      <c r="AK200" s="26"/>
      <c r="AL200" s="26"/>
      <c r="AM200" s="26"/>
    </row>
    <row r="201" spans="3:39" ht="12.75" customHeight="1">
      <c r="C201" s="12"/>
      <c r="D201" s="12"/>
      <c r="E201" s="12"/>
      <c r="F201" s="12"/>
      <c r="G201" s="12"/>
      <c r="H201" s="12"/>
      <c r="I201" s="12"/>
      <c r="J201" s="12"/>
      <c r="K201" s="12"/>
      <c r="L201" s="12"/>
      <c r="M201" s="12"/>
      <c r="P201" s="12"/>
      <c r="Q201" s="12"/>
      <c r="R201" s="12"/>
      <c r="S201" s="12"/>
      <c r="T201" s="12"/>
      <c r="U201" s="12"/>
      <c r="V201" s="12"/>
      <c r="W201" s="12"/>
      <c r="X201" s="12"/>
      <c r="Y201" s="12"/>
      <c r="Z201" s="12"/>
      <c r="AC201" s="12"/>
      <c r="AD201" s="12"/>
      <c r="AE201" s="12"/>
      <c r="AF201" s="12"/>
      <c r="AG201" s="12"/>
      <c r="AH201" s="12"/>
      <c r="AI201" s="12"/>
      <c r="AJ201" s="12"/>
      <c r="AK201" s="12"/>
      <c r="AL201" s="12"/>
      <c r="AM201" s="12"/>
    </row>
    <row r="202" spans="3:39" ht="12.75" customHeight="1">
      <c r="C202" s="12"/>
      <c r="D202" s="12"/>
      <c r="E202" s="12"/>
      <c r="F202" s="12"/>
      <c r="G202" s="12"/>
      <c r="H202" s="12"/>
      <c r="I202" s="12"/>
      <c r="J202" s="12"/>
      <c r="K202" s="12"/>
      <c r="L202" s="12"/>
      <c r="M202" s="12"/>
      <c r="P202" s="12"/>
      <c r="Q202" s="12"/>
      <c r="R202" s="12"/>
      <c r="S202" s="12"/>
      <c r="T202" s="12"/>
      <c r="U202" s="12"/>
      <c r="V202" s="12"/>
      <c r="W202" s="12"/>
      <c r="X202" s="12"/>
      <c r="Y202" s="12"/>
      <c r="Z202" s="12"/>
      <c r="AC202" s="12"/>
      <c r="AD202" s="12"/>
      <c r="AE202" s="12"/>
      <c r="AF202" s="12"/>
      <c r="AG202" s="12"/>
      <c r="AH202" s="12"/>
      <c r="AI202" s="12"/>
      <c r="AJ202" s="12"/>
      <c r="AK202" s="12"/>
      <c r="AL202" s="12"/>
      <c r="AM202" s="12"/>
    </row>
    <row r="203" spans="3:39" ht="12.75" customHeight="1">
      <c r="C203" s="12"/>
      <c r="D203" s="12"/>
      <c r="E203" s="12"/>
      <c r="F203" s="12"/>
      <c r="G203" s="12"/>
      <c r="H203" s="12"/>
      <c r="I203" s="12"/>
      <c r="J203" s="12"/>
      <c r="K203" s="12"/>
      <c r="L203" s="12"/>
      <c r="M203" s="12"/>
      <c r="P203" s="12"/>
      <c r="Q203" s="12"/>
      <c r="R203" s="12"/>
      <c r="S203" s="12"/>
      <c r="T203" s="12"/>
      <c r="U203" s="12"/>
      <c r="V203" s="12"/>
      <c r="W203" s="12"/>
      <c r="X203" s="12"/>
      <c r="Y203" s="12"/>
      <c r="Z203" s="12"/>
      <c r="AC203" s="12"/>
      <c r="AD203" s="12"/>
      <c r="AE203" s="12"/>
      <c r="AF203" s="12"/>
      <c r="AG203" s="12"/>
      <c r="AH203" s="12"/>
      <c r="AI203" s="12"/>
      <c r="AJ203" s="12"/>
      <c r="AK203" s="12"/>
      <c r="AL203" s="12"/>
      <c r="AM203" s="12"/>
    </row>
    <row r="204" spans="3:39" ht="12.75" customHeight="1">
      <c r="C204" s="12"/>
      <c r="D204" s="12"/>
      <c r="E204" s="12"/>
      <c r="F204" s="12"/>
      <c r="G204" s="12"/>
      <c r="H204" s="12"/>
      <c r="I204" s="12"/>
      <c r="J204" s="12"/>
      <c r="K204" s="12"/>
      <c r="L204" s="12"/>
      <c r="M204" s="12"/>
      <c r="P204" s="12"/>
      <c r="Q204" s="12"/>
      <c r="R204" s="12"/>
      <c r="S204" s="12"/>
      <c r="T204" s="12"/>
      <c r="U204" s="12"/>
      <c r="V204" s="12"/>
      <c r="W204" s="12"/>
      <c r="X204" s="12"/>
      <c r="Y204" s="12"/>
      <c r="Z204" s="12"/>
      <c r="AC204" s="12"/>
      <c r="AD204" s="12"/>
      <c r="AE204" s="12"/>
      <c r="AF204" s="12"/>
      <c r="AG204" s="12"/>
      <c r="AH204" s="12"/>
      <c r="AI204" s="12"/>
      <c r="AJ204" s="12"/>
      <c r="AK204" s="12"/>
      <c r="AL204" s="12"/>
      <c r="AM204" s="12"/>
    </row>
    <row r="205" spans="3:39" ht="12.75" customHeight="1">
      <c r="C205" s="12"/>
      <c r="D205" s="12"/>
      <c r="E205" s="12"/>
      <c r="F205" s="12"/>
      <c r="G205" s="12"/>
      <c r="H205" s="12"/>
      <c r="I205" s="12"/>
      <c r="J205" s="12"/>
      <c r="K205" s="12"/>
      <c r="L205" s="12"/>
      <c r="M205" s="12"/>
      <c r="P205" s="12"/>
      <c r="Q205" s="12"/>
      <c r="R205" s="12"/>
      <c r="S205" s="12"/>
      <c r="T205" s="12"/>
      <c r="U205" s="12"/>
      <c r="V205" s="12"/>
      <c r="W205" s="12"/>
      <c r="X205" s="12"/>
      <c r="Y205" s="12"/>
      <c r="Z205" s="12"/>
      <c r="AC205" s="12"/>
      <c r="AD205" s="12"/>
      <c r="AE205" s="12"/>
      <c r="AF205" s="12"/>
      <c r="AG205" s="12"/>
      <c r="AH205" s="12"/>
      <c r="AI205" s="12"/>
      <c r="AJ205" s="12"/>
      <c r="AK205" s="12"/>
      <c r="AL205" s="12"/>
      <c r="AM205" s="12"/>
    </row>
    <row r="206" spans="3:39" ht="12.75" customHeight="1">
      <c r="C206" s="12"/>
      <c r="D206" s="12"/>
      <c r="E206" s="12"/>
      <c r="F206" s="12"/>
      <c r="G206" s="12"/>
      <c r="H206" s="12"/>
      <c r="I206" s="12"/>
      <c r="J206" s="12"/>
      <c r="K206" s="12"/>
      <c r="L206" s="12"/>
      <c r="M206" s="12"/>
      <c r="P206" s="12"/>
      <c r="Q206" s="12"/>
      <c r="R206" s="12"/>
      <c r="S206" s="12"/>
      <c r="T206" s="12"/>
      <c r="U206" s="12"/>
      <c r="V206" s="12"/>
      <c r="W206" s="12"/>
      <c r="X206" s="12"/>
      <c r="Y206" s="12"/>
      <c r="Z206" s="12"/>
      <c r="AC206" s="12"/>
      <c r="AD206" s="12"/>
      <c r="AE206" s="12"/>
      <c r="AF206" s="12"/>
      <c r="AG206" s="12"/>
      <c r="AH206" s="12"/>
      <c r="AI206" s="12"/>
      <c r="AJ206" s="12"/>
      <c r="AK206" s="12"/>
      <c r="AL206" s="12"/>
      <c r="AM206" s="12"/>
    </row>
    <row r="207" spans="3:39" ht="12.75" customHeight="1">
      <c r="C207" s="12"/>
      <c r="D207" s="12"/>
      <c r="E207" s="12"/>
      <c r="F207" s="12"/>
      <c r="G207" s="12"/>
      <c r="H207" s="12"/>
      <c r="I207" s="12"/>
      <c r="J207" s="12"/>
      <c r="K207" s="12"/>
      <c r="L207" s="12"/>
      <c r="M207" s="12"/>
      <c r="P207" s="12"/>
      <c r="Q207" s="12"/>
      <c r="R207" s="12"/>
      <c r="S207" s="12"/>
      <c r="T207" s="12"/>
      <c r="U207" s="12"/>
      <c r="V207" s="12"/>
      <c r="W207" s="12"/>
      <c r="X207" s="12"/>
      <c r="Y207" s="12"/>
      <c r="Z207" s="12"/>
      <c r="AC207" s="12"/>
      <c r="AD207" s="12"/>
      <c r="AE207" s="12"/>
      <c r="AF207" s="12"/>
      <c r="AG207" s="12"/>
      <c r="AH207" s="12"/>
      <c r="AI207" s="12"/>
      <c r="AJ207" s="12"/>
      <c r="AK207" s="12"/>
      <c r="AL207" s="12"/>
      <c r="AM207" s="12"/>
    </row>
    <row r="208" spans="3:39" ht="12.75" customHeight="1">
      <c r="C208" s="12"/>
      <c r="D208" s="12"/>
      <c r="E208" s="12"/>
      <c r="F208" s="12"/>
      <c r="G208" s="12"/>
      <c r="H208" s="12"/>
      <c r="I208" s="12"/>
      <c r="J208" s="12"/>
      <c r="K208" s="12"/>
      <c r="L208" s="12"/>
      <c r="M208" s="12"/>
      <c r="P208" s="12"/>
      <c r="Q208" s="12"/>
      <c r="R208" s="12"/>
      <c r="S208" s="12"/>
      <c r="T208" s="12"/>
      <c r="U208" s="12"/>
      <c r="V208" s="12"/>
      <c r="W208" s="12"/>
      <c r="X208" s="12"/>
      <c r="Y208" s="12"/>
      <c r="Z208" s="12"/>
      <c r="AC208" s="12"/>
      <c r="AD208" s="12"/>
      <c r="AE208" s="12"/>
      <c r="AF208" s="12"/>
      <c r="AG208" s="12"/>
      <c r="AH208" s="12"/>
      <c r="AI208" s="12"/>
      <c r="AJ208" s="12"/>
      <c r="AK208" s="12"/>
      <c r="AL208" s="12"/>
      <c r="AM208" s="12"/>
    </row>
    <row r="209" spans="3:39" ht="12.75" customHeight="1">
      <c r="C209" s="12"/>
      <c r="D209" s="12"/>
      <c r="E209" s="12"/>
      <c r="F209" s="12"/>
      <c r="G209" s="12"/>
      <c r="H209" s="12"/>
      <c r="I209" s="12"/>
      <c r="J209" s="12"/>
      <c r="K209" s="12"/>
      <c r="L209" s="12"/>
      <c r="M209" s="12"/>
      <c r="P209" s="12"/>
      <c r="Q209" s="12"/>
      <c r="R209" s="12"/>
      <c r="S209" s="12"/>
      <c r="T209" s="12"/>
      <c r="U209" s="12"/>
      <c r="V209" s="12"/>
      <c r="W209" s="12"/>
      <c r="X209" s="12"/>
      <c r="Y209" s="12"/>
      <c r="Z209" s="12"/>
      <c r="AC209" s="12"/>
      <c r="AD209" s="12"/>
      <c r="AE209" s="12"/>
      <c r="AF209" s="12"/>
      <c r="AG209" s="12"/>
      <c r="AH209" s="12"/>
      <c r="AI209" s="12"/>
      <c r="AJ209" s="12"/>
      <c r="AK209" s="12"/>
      <c r="AL209" s="12"/>
      <c r="AM209" s="12"/>
    </row>
    <row r="210" spans="3:39" ht="12.75" customHeight="1">
      <c r="C210" s="12"/>
      <c r="D210" s="12"/>
      <c r="E210" s="12"/>
      <c r="F210" s="12"/>
      <c r="G210" s="12"/>
      <c r="H210" s="12"/>
      <c r="I210" s="12"/>
      <c r="J210" s="12"/>
      <c r="K210" s="12"/>
      <c r="L210" s="12"/>
      <c r="M210" s="12"/>
      <c r="P210" s="12"/>
      <c r="Q210" s="12"/>
      <c r="R210" s="12"/>
      <c r="S210" s="12"/>
      <c r="T210" s="12"/>
      <c r="U210" s="12"/>
      <c r="V210" s="12"/>
      <c r="W210" s="12"/>
      <c r="X210" s="12"/>
      <c r="Y210" s="12"/>
      <c r="Z210" s="12"/>
      <c r="AC210" s="12"/>
      <c r="AD210" s="12"/>
      <c r="AE210" s="12"/>
      <c r="AF210" s="12"/>
      <c r="AG210" s="12"/>
      <c r="AH210" s="12"/>
      <c r="AI210" s="12"/>
      <c r="AJ210" s="12"/>
      <c r="AK210" s="12"/>
      <c r="AL210" s="12"/>
      <c r="AM210" s="12"/>
    </row>
    <row r="211" spans="3:39" ht="12.75" customHeight="1">
      <c r="C211" s="12"/>
      <c r="D211" s="12"/>
      <c r="E211" s="12"/>
      <c r="F211" s="12"/>
      <c r="G211" s="12"/>
      <c r="H211" s="12"/>
      <c r="I211" s="12"/>
      <c r="J211" s="12"/>
      <c r="K211" s="12"/>
      <c r="L211" s="12"/>
      <c r="M211" s="12"/>
      <c r="P211" s="12"/>
      <c r="Q211" s="12"/>
      <c r="R211" s="12"/>
      <c r="S211" s="12"/>
      <c r="T211" s="12"/>
      <c r="U211" s="12"/>
      <c r="V211" s="12"/>
      <c r="W211" s="12"/>
      <c r="X211" s="12"/>
      <c r="Y211" s="12"/>
      <c r="Z211" s="12"/>
      <c r="AC211" s="12"/>
      <c r="AD211" s="12"/>
      <c r="AE211" s="12"/>
      <c r="AF211" s="12"/>
      <c r="AG211" s="12"/>
      <c r="AH211" s="12"/>
      <c r="AI211" s="12"/>
      <c r="AJ211" s="12"/>
      <c r="AK211" s="12"/>
      <c r="AL211" s="12"/>
      <c r="AM211" s="12"/>
    </row>
    <row r="212" spans="3:39" ht="12.75" customHeight="1">
      <c r="C212" s="12"/>
      <c r="D212" s="12"/>
      <c r="E212" s="12"/>
      <c r="F212" s="12"/>
      <c r="G212" s="12"/>
      <c r="H212" s="12"/>
      <c r="I212" s="12"/>
      <c r="J212" s="12"/>
      <c r="K212" s="12"/>
      <c r="L212" s="12"/>
      <c r="M212" s="12"/>
      <c r="P212" s="12"/>
      <c r="Q212" s="12"/>
      <c r="R212" s="12"/>
      <c r="S212" s="12"/>
      <c r="T212" s="12"/>
      <c r="U212" s="12"/>
      <c r="V212" s="12"/>
      <c r="W212" s="12"/>
      <c r="X212" s="12"/>
      <c r="Y212" s="12"/>
      <c r="Z212" s="12"/>
      <c r="AC212" s="12"/>
      <c r="AD212" s="12"/>
      <c r="AE212" s="12"/>
      <c r="AF212" s="12"/>
      <c r="AG212" s="12"/>
      <c r="AH212" s="12"/>
      <c r="AI212" s="12"/>
      <c r="AJ212" s="12"/>
      <c r="AK212" s="12"/>
      <c r="AL212" s="12"/>
      <c r="AM212" s="12"/>
    </row>
    <row r="213" spans="3:39" ht="12.75" customHeight="1">
      <c r="C213" s="12"/>
      <c r="D213" s="12"/>
      <c r="E213" s="12"/>
      <c r="F213" s="12"/>
      <c r="G213" s="12"/>
      <c r="H213" s="12"/>
      <c r="I213" s="12"/>
      <c r="J213" s="12"/>
      <c r="K213" s="12"/>
      <c r="L213" s="12"/>
      <c r="M213" s="12"/>
      <c r="P213" s="12"/>
      <c r="Q213" s="12"/>
      <c r="R213" s="12"/>
      <c r="S213" s="12"/>
      <c r="T213" s="12"/>
      <c r="U213" s="12"/>
      <c r="V213" s="12"/>
      <c r="W213" s="12"/>
      <c r="X213" s="12"/>
      <c r="Y213" s="12"/>
      <c r="Z213" s="12"/>
      <c r="AC213" s="12"/>
      <c r="AD213" s="12"/>
      <c r="AE213" s="12"/>
      <c r="AF213" s="12"/>
      <c r="AG213" s="12"/>
      <c r="AH213" s="12"/>
      <c r="AI213" s="12"/>
      <c r="AJ213" s="12"/>
      <c r="AK213" s="12"/>
      <c r="AL213" s="12"/>
      <c r="AM213" s="12"/>
    </row>
    <row r="214" spans="3:39" ht="12.75" customHeight="1">
      <c r="C214" s="12"/>
      <c r="D214" s="12"/>
      <c r="E214" s="12"/>
      <c r="F214" s="12"/>
      <c r="G214" s="12"/>
      <c r="H214" s="12"/>
      <c r="I214" s="12"/>
      <c r="J214" s="12"/>
      <c r="K214" s="12"/>
      <c r="L214" s="12"/>
      <c r="M214" s="12"/>
      <c r="P214" s="12"/>
      <c r="Q214" s="12"/>
      <c r="R214" s="12"/>
      <c r="S214" s="12"/>
      <c r="T214" s="12"/>
      <c r="U214" s="12"/>
      <c r="V214" s="12"/>
      <c r="W214" s="12"/>
      <c r="X214" s="12"/>
      <c r="Y214" s="12"/>
      <c r="Z214" s="12"/>
      <c r="AC214" s="12"/>
      <c r="AD214" s="12"/>
      <c r="AE214" s="12"/>
      <c r="AF214" s="12"/>
      <c r="AG214" s="12"/>
      <c r="AH214" s="12"/>
      <c r="AI214" s="12"/>
      <c r="AJ214" s="12"/>
      <c r="AK214" s="12"/>
      <c r="AL214" s="12"/>
      <c r="AM214" s="12"/>
    </row>
    <row r="215" spans="3:39" ht="12.75" customHeight="1">
      <c r="C215" s="12"/>
      <c r="D215" s="12"/>
      <c r="E215" s="12"/>
      <c r="F215" s="12"/>
      <c r="G215" s="12"/>
      <c r="H215" s="12"/>
      <c r="I215" s="12"/>
      <c r="J215" s="12"/>
      <c r="K215" s="12"/>
      <c r="L215" s="12"/>
      <c r="M215" s="12"/>
      <c r="P215" s="12"/>
      <c r="Q215" s="12"/>
      <c r="R215" s="12"/>
      <c r="S215" s="12"/>
      <c r="T215" s="12"/>
      <c r="U215" s="12"/>
      <c r="V215" s="12"/>
      <c r="W215" s="12"/>
      <c r="X215" s="12"/>
      <c r="Y215" s="12"/>
      <c r="Z215" s="12"/>
      <c r="AC215" s="12"/>
      <c r="AD215" s="12"/>
      <c r="AE215" s="12"/>
      <c r="AF215" s="12"/>
      <c r="AG215" s="12"/>
      <c r="AH215" s="12"/>
      <c r="AI215" s="12"/>
      <c r="AJ215" s="12"/>
      <c r="AK215" s="12"/>
      <c r="AL215" s="12"/>
      <c r="AM215" s="12"/>
    </row>
    <row r="216" spans="3:39" ht="12.75" customHeight="1">
      <c r="C216" s="12"/>
      <c r="D216" s="12"/>
      <c r="E216" s="12"/>
      <c r="F216" s="12"/>
      <c r="G216" s="12"/>
      <c r="H216" s="12"/>
      <c r="I216" s="12"/>
      <c r="J216" s="12"/>
      <c r="K216" s="12"/>
      <c r="L216" s="12"/>
      <c r="M216" s="12"/>
      <c r="P216" s="12"/>
      <c r="Q216" s="12"/>
      <c r="R216" s="12"/>
      <c r="S216" s="12"/>
      <c r="T216" s="12"/>
      <c r="U216" s="12"/>
      <c r="V216" s="12"/>
      <c r="W216" s="12"/>
      <c r="X216" s="12"/>
      <c r="Y216" s="12"/>
      <c r="Z216" s="12"/>
      <c r="AC216" s="12"/>
      <c r="AD216" s="12"/>
      <c r="AE216" s="12"/>
      <c r="AF216" s="12"/>
      <c r="AG216" s="12"/>
      <c r="AH216" s="12"/>
      <c r="AI216" s="12"/>
      <c r="AJ216" s="12"/>
      <c r="AK216" s="12"/>
      <c r="AL216" s="12"/>
      <c r="AM216" s="12"/>
    </row>
    <row r="217" spans="3:39" ht="12.75" customHeight="1">
      <c r="C217" s="12"/>
      <c r="D217" s="12"/>
      <c r="E217" s="12"/>
      <c r="F217" s="12"/>
      <c r="G217" s="12"/>
      <c r="H217" s="12"/>
      <c r="I217" s="12"/>
      <c r="J217" s="12"/>
      <c r="K217" s="12"/>
      <c r="L217" s="12"/>
      <c r="M217" s="12"/>
      <c r="P217" s="12"/>
      <c r="Q217" s="12"/>
      <c r="R217" s="12"/>
      <c r="S217" s="12"/>
      <c r="T217" s="12"/>
      <c r="U217" s="12"/>
      <c r="V217" s="12"/>
      <c r="W217" s="12"/>
      <c r="X217" s="12"/>
      <c r="Y217" s="12"/>
      <c r="Z217" s="12"/>
      <c r="AC217" s="12"/>
      <c r="AD217" s="12"/>
      <c r="AE217" s="12"/>
      <c r="AF217" s="12"/>
      <c r="AG217" s="12"/>
      <c r="AH217" s="12"/>
      <c r="AI217" s="12"/>
      <c r="AJ217" s="12"/>
      <c r="AK217" s="12"/>
      <c r="AL217" s="12"/>
      <c r="AM217" s="12"/>
    </row>
    <row r="218" spans="3:39" ht="12.75" customHeight="1">
      <c r="C218" s="12"/>
      <c r="D218" s="12"/>
      <c r="E218" s="12"/>
      <c r="F218" s="12"/>
      <c r="G218" s="12"/>
      <c r="H218" s="12"/>
      <c r="I218" s="12"/>
      <c r="J218" s="12"/>
      <c r="K218" s="12"/>
      <c r="L218" s="12"/>
      <c r="M218" s="12"/>
      <c r="P218" s="12"/>
      <c r="Q218" s="12"/>
      <c r="R218" s="12"/>
      <c r="S218" s="12"/>
      <c r="T218" s="12"/>
      <c r="U218" s="12"/>
      <c r="V218" s="12"/>
      <c r="W218" s="12"/>
      <c r="X218" s="12"/>
      <c r="Y218" s="12"/>
      <c r="Z218" s="12"/>
      <c r="AC218" s="12"/>
      <c r="AD218" s="12"/>
      <c r="AE218" s="12"/>
      <c r="AF218" s="12"/>
      <c r="AG218" s="12"/>
      <c r="AH218" s="12"/>
      <c r="AI218" s="12"/>
      <c r="AJ218" s="12"/>
      <c r="AK218" s="12"/>
      <c r="AL218" s="12"/>
      <c r="AM218" s="12"/>
    </row>
    <row r="219" spans="3:39" ht="12.75" customHeight="1">
      <c r="C219" s="12"/>
      <c r="D219" s="12"/>
      <c r="E219" s="12"/>
      <c r="F219" s="12"/>
      <c r="G219" s="12"/>
      <c r="H219" s="12"/>
      <c r="I219" s="12"/>
      <c r="J219" s="12"/>
      <c r="K219" s="12"/>
      <c r="L219" s="12"/>
      <c r="M219" s="12"/>
      <c r="P219" s="12"/>
      <c r="Q219" s="12"/>
      <c r="R219" s="12"/>
      <c r="S219" s="12"/>
      <c r="T219" s="12"/>
      <c r="U219" s="12"/>
      <c r="V219" s="12"/>
      <c r="W219" s="12"/>
      <c r="X219" s="12"/>
      <c r="Y219" s="12"/>
      <c r="Z219" s="12"/>
      <c r="AC219" s="12"/>
      <c r="AD219" s="12"/>
      <c r="AE219" s="12"/>
      <c r="AF219" s="12"/>
      <c r="AG219" s="12"/>
      <c r="AH219" s="12"/>
      <c r="AI219" s="12"/>
      <c r="AJ219" s="12"/>
      <c r="AK219" s="12"/>
      <c r="AL219" s="12"/>
      <c r="AM219" s="12"/>
    </row>
    <row r="220" spans="3:39" ht="12.75" customHeight="1">
      <c r="C220" s="12"/>
      <c r="D220" s="12"/>
      <c r="E220" s="12"/>
      <c r="F220" s="12"/>
      <c r="G220" s="12"/>
      <c r="H220" s="12"/>
      <c r="I220" s="12"/>
      <c r="J220" s="12"/>
      <c r="K220" s="12"/>
      <c r="L220" s="12"/>
      <c r="M220" s="12"/>
      <c r="P220" s="12"/>
      <c r="Q220" s="12"/>
      <c r="R220" s="12"/>
      <c r="S220" s="12"/>
      <c r="T220" s="12"/>
      <c r="U220" s="12"/>
      <c r="V220" s="12"/>
      <c r="W220" s="12"/>
      <c r="X220" s="12"/>
      <c r="Y220" s="12"/>
      <c r="Z220" s="12"/>
      <c r="AC220" s="12"/>
      <c r="AD220" s="12"/>
      <c r="AE220" s="12"/>
      <c r="AF220" s="12"/>
      <c r="AG220" s="12"/>
      <c r="AH220" s="12"/>
      <c r="AI220" s="12"/>
      <c r="AJ220" s="12"/>
      <c r="AK220" s="12"/>
      <c r="AL220" s="12"/>
      <c r="AM220" s="12"/>
    </row>
    <row r="221" spans="3:39" ht="12.75" customHeight="1">
      <c r="C221" s="12"/>
      <c r="D221" s="12"/>
      <c r="E221" s="12"/>
      <c r="F221" s="12"/>
      <c r="G221" s="12"/>
      <c r="H221" s="12"/>
      <c r="I221" s="12"/>
      <c r="J221" s="12"/>
      <c r="K221" s="12"/>
      <c r="L221" s="12"/>
      <c r="M221" s="12"/>
      <c r="P221" s="12"/>
      <c r="Q221" s="12"/>
      <c r="R221" s="12"/>
      <c r="S221" s="12"/>
      <c r="T221" s="12"/>
      <c r="U221" s="12"/>
      <c r="V221" s="12"/>
      <c r="W221" s="12"/>
      <c r="X221" s="12"/>
      <c r="Y221" s="12"/>
      <c r="Z221" s="12"/>
      <c r="AC221" s="12"/>
      <c r="AD221" s="12"/>
      <c r="AE221" s="12"/>
      <c r="AF221" s="12"/>
      <c r="AG221" s="12"/>
      <c r="AH221" s="12"/>
      <c r="AI221" s="12"/>
      <c r="AJ221" s="12"/>
      <c r="AK221" s="12"/>
      <c r="AL221" s="12"/>
      <c r="AM221" s="12"/>
    </row>
    <row r="222" spans="3:39" ht="12.75" customHeight="1">
      <c r="C222" s="12"/>
      <c r="D222" s="12"/>
      <c r="E222" s="12"/>
      <c r="F222" s="12"/>
      <c r="G222" s="12"/>
      <c r="H222" s="12"/>
      <c r="I222" s="12"/>
      <c r="J222" s="12"/>
      <c r="K222" s="12"/>
      <c r="L222" s="12"/>
      <c r="M222" s="12"/>
      <c r="P222" s="12"/>
      <c r="Q222" s="12"/>
      <c r="R222" s="12"/>
      <c r="S222" s="12"/>
      <c r="T222" s="12"/>
      <c r="U222" s="12"/>
      <c r="V222" s="12"/>
      <c r="W222" s="12"/>
      <c r="X222" s="12"/>
      <c r="Y222" s="12"/>
      <c r="Z222" s="12"/>
      <c r="AC222" s="12"/>
      <c r="AD222" s="12"/>
      <c r="AE222" s="12"/>
      <c r="AF222" s="12"/>
      <c r="AG222" s="12"/>
      <c r="AH222" s="12"/>
      <c r="AI222" s="12"/>
      <c r="AJ222" s="12"/>
      <c r="AK222" s="12"/>
      <c r="AL222" s="12"/>
      <c r="AM222" s="12"/>
    </row>
    <row r="223" spans="3:39" ht="12.75" customHeight="1">
      <c r="C223" s="12"/>
      <c r="D223" s="12"/>
      <c r="E223" s="12"/>
      <c r="F223" s="12"/>
      <c r="G223" s="12"/>
      <c r="H223" s="12"/>
      <c r="I223" s="12"/>
      <c r="J223" s="12"/>
      <c r="K223" s="12"/>
      <c r="L223" s="12"/>
      <c r="M223" s="12"/>
      <c r="P223" s="12"/>
      <c r="Q223" s="12"/>
      <c r="R223" s="12"/>
      <c r="S223" s="12"/>
      <c r="T223" s="12"/>
      <c r="U223" s="12"/>
      <c r="V223" s="12"/>
      <c r="W223" s="12"/>
      <c r="X223" s="12"/>
      <c r="Y223" s="12"/>
      <c r="Z223" s="12"/>
      <c r="AC223" s="12"/>
      <c r="AD223" s="12"/>
      <c r="AE223" s="12"/>
      <c r="AF223" s="12"/>
      <c r="AG223" s="12"/>
      <c r="AH223" s="12"/>
      <c r="AI223" s="12"/>
      <c r="AJ223" s="12"/>
      <c r="AK223" s="12"/>
      <c r="AL223" s="12"/>
      <c r="AM223" s="12"/>
    </row>
    <row r="224" spans="3:39" ht="12.75" customHeight="1">
      <c r="C224" s="12"/>
      <c r="D224" s="12"/>
      <c r="E224" s="12"/>
      <c r="F224" s="12"/>
      <c r="G224" s="12"/>
      <c r="H224" s="12"/>
      <c r="I224" s="12"/>
      <c r="J224" s="12"/>
      <c r="K224" s="12"/>
      <c r="L224" s="12"/>
      <c r="M224" s="12"/>
      <c r="P224" s="12"/>
      <c r="Q224" s="12"/>
      <c r="R224" s="12"/>
      <c r="S224" s="12"/>
      <c r="T224" s="12"/>
      <c r="U224" s="12"/>
      <c r="V224" s="12"/>
      <c r="W224" s="12"/>
      <c r="X224" s="12"/>
      <c r="Y224" s="12"/>
      <c r="Z224" s="12"/>
      <c r="AC224" s="12"/>
      <c r="AD224" s="12"/>
      <c r="AE224" s="12"/>
      <c r="AF224" s="12"/>
      <c r="AG224" s="12"/>
      <c r="AH224" s="12"/>
      <c r="AI224" s="12"/>
      <c r="AJ224" s="12"/>
      <c r="AK224" s="12"/>
      <c r="AL224" s="12"/>
      <c r="AM224" s="12"/>
    </row>
    <row r="225" spans="3:39" ht="12.75" customHeight="1">
      <c r="C225" s="12"/>
      <c r="D225" s="12"/>
      <c r="E225" s="12"/>
      <c r="F225" s="12"/>
      <c r="G225" s="12"/>
      <c r="H225" s="12"/>
      <c r="I225" s="12"/>
      <c r="J225" s="12"/>
      <c r="K225" s="12"/>
      <c r="L225" s="12"/>
      <c r="M225" s="12"/>
      <c r="P225" s="12"/>
      <c r="Q225" s="12"/>
      <c r="R225" s="12"/>
      <c r="S225" s="12"/>
      <c r="T225" s="12"/>
      <c r="U225" s="12"/>
      <c r="V225" s="12"/>
      <c r="W225" s="12"/>
      <c r="X225" s="12"/>
      <c r="Y225" s="12"/>
      <c r="Z225" s="12"/>
      <c r="AC225" s="12"/>
      <c r="AD225" s="12"/>
      <c r="AE225" s="12"/>
      <c r="AF225" s="12"/>
      <c r="AG225" s="12"/>
      <c r="AH225" s="12"/>
      <c r="AI225" s="12"/>
      <c r="AJ225" s="12"/>
      <c r="AK225" s="12"/>
      <c r="AL225" s="12"/>
      <c r="AM225" s="12"/>
    </row>
    <row r="226" spans="3:39" ht="12.75" customHeight="1">
      <c r="C226" s="12"/>
      <c r="D226" s="12"/>
      <c r="E226" s="12"/>
      <c r="F226" s="12"/>
      <c r="G226" s="12"/>
      <c r="H226" s="12"/>
      <c r="I226" s="12"/>
      <c r="J226" s="12"/>
      <c r="K226" s="12"/>
      <c r="L226" s="12"/>
      <c r="M226" s="12"/>
      <c r="P226" s="12"/>
      <c r="Q226" s="12"/>
      <c r="R226" s="12"/>
      <c r="S226" s="12"/>
      <c r="T226" s="12"/>
      <c r="U226" s="12"/>
      <c r="V226" s="12"/>
      <c r="W226" s="12"/>
      <c r="X226" s="12"/>
      <c r="Y226" s="12"/>
      <c r="Z226" s="12"/>
      <c r="AC226" s="12"/>
      <c r="AD226" s="12"/>
      <c r="AE226" s="12"/>
      <c r="AF226" s="12"/>
      <c r="AG226" s="12"/>
      <c r="AH226" s="12"/>
      <c r="AI226" s="12"/>
      <c r="AJ226" s="12"/>
      <c r="AK226" s="12"/>
      <c r="AL226" s="12"/>
      <c r="AM226" s="12"/>
    </row>
    <row r="227" spans="3:39" ht="12.75" customHeight="1">
      <c r="C227" s="12"/>
      <c r="D227" s="12"/>
      <c r="E227" s="12"/>
      <c r="F227" s="12"/>
      <c r="G227" s="12"/>
      <c r="H227" s="12"/>
      <c r="I227" s="12"/>
      <c r="J227" s="12"/>
      <c r="K227" s="12"/>
      <c r="L227" s="12"/>
      <c r="M227" s="12"/>
      <c r="P227" s="12"/>
      <c r="Q227" s="12"/>
      <c r="R227" s="12"/>
      <c r="S227" s="12"/>
      <c r="T227" s="12"/>
      <c r="U227" s="12"/>
      <c r="V227" s="12"/>
      <c r="W227" s="12"/>
      <c r="X227" s="12"/>
      <c r="Y227" s="12"/>
      <c r="Z227" s="12"/>
      <c r="AC227" s="12"/>
      <c r="AD227" s="12"/>
      <c r="AE227" s="12"/>
      <c r="AF227" s="12"/>
      <c r="AG227" s="12"/>
      <c r="AH227" s="12"/>
      <c r="AI227" s="12"/>
      <c r="AJ227" s="12"/>
      <c r="AK227" s="12"/>
      <c r="AL227" s="12"/>
      <c r="AM227" s="12"/>
    </row>
    <row r="228" spans="3:39" ht="12.75" customHeight="1">
      <c r="C228" s="12"/>
      <c r="D228" s="12"/>
      <c r="E228" s="12"/>
      <c r="F228" s="12"/>
      <c r="G228" s="12"/>
      <c r="H228" s="12"/>
      <c r="I228" s="12"/>
      <c r="J228" s="12"/>
      <c r="K228" s="12"/>
      <c r="L228" s="12"/>
      <c r="M228" s="12"/>
      <c r="P228" s="12"/>
      <c r="Q228" s="12"/>
      <c r="R228" s="12"/>
      <c r="S228" s="12"/>
      <c r="T228" s="12"/>
      <c r="U228" s="12"/>
      <c r="V228" s="12"/>
      <c r="W228" s="12"/>
      <c r="X228" s="12"/>
      <c r="Y228" s="12"/>
      <c r="Z228" s="12"/>
      <c r="AC228" s="12"/>
      <c r="AD228" s="12"/>
      <c r="AE228" s="12"/>
      <c r="AF228" s="12"/>
      <c r="AG228" s="12"/>
      <c r="AH228" s="12"/>
      <c r="AI228" s="12"/>
      <c r="AJ228" s="12"/>
      <c r="AK228" s="12"/>
      <c r="AL228" s="12"/>
      <c r="AM228" s="12"/>
    </row>
    <row r="229" spans="3:39" ht="12.75" customHeight="1">
      <c r="C229" s="12"/>
      <c r="D229" s="12"/>
      <c r="E229" s="12"/>
      <c r="F229" s="12"/>
      <c r="G229" s="12"/>
      <c r="H229" s="12"/>
      <c r="I229" s="12"/>
      <c r="J229" s="12"/>
      <c r="K229" s="12"/>
      <c r="L229" s="12"/>
      <c r="M229" s="12"/>
      <c r="P229" s="12"/>
      <c r="Q229" s="12"/>
      <c r="R229" s="12"/>
      <c r="S229" s="12"/>
      <c r="T229" s="12"/>
      <c r="U229" s="12"/>
      <c r="V229" s="12"/>
      <c r="W229" s="12"/>
      <c r="X229" s="12"/>
      <c r="Y229" s="12"/>
      <c r="Z229" s="12"/>
      <c r="AC229" s="12"/>
      <c r="AD229" s="12"/>
      <c r="AE229" s="12"/>
      <c r="AF229" s="12"/>
      <c r="AG229" s="12"/>
      <c r="AH229" s="12"/>
      <c r="AI229" s="12"/>
      <c r="AJ229" s="12"/>
      <c r="AK229" s="12"/>
      <c r="AL229" s="12"/>
      <c r="AM229" s="12"/>
    </row>
    <row r="230" spans="3:39" ht="12.75" customHeight="1">
      <c r="C230" s="12"/>
      <c r="D230" s="12"/>
      <c r="E230" s="12"/>
      <c r="F230" s="12"/>
      <c r="G230" s="12"/>
      <c r="H230" s="12"/>
      <c r="I230" s="12"/>
      <c r="J230" s="12"/>
      <c r="K230" s="12"/>
      <c r="L230" s="12"/>
      <c r="M230" s="12"/>
      <c r="P230" s="12"/>
      <c r="Q230" s="12"/>
      <c r="R230" s="12"/>
      <c r="S230" s="12"/>
      <c r="T230" s="12"/>
      <c r="U230" s="12"/>
      <c r="V230" s="12"/>
      <c r="W230" s="12"/>
      <c r="X230" s="12"/>
      <c r="Y230" s="12"/>
      <c r="Z230" s="12"/>
      <c r="AC230" s="12"/>
      <c r="AD230" s="12"/>
      <c r="AE230" s="12"/>
      <c r="AF230" s="12"/>
      <c r="AG230" s="12"/>
      <c r="AH230" s="12"/>
      <c r="AI230" s="12"/>
      <c r="AJ230" s="12"/>
      <c r="AK230" s="12"/>
      <c r="AL230" s="12"/>
      <c r="AM230" s="12"/>
    </row>
    <row r="231" spans="3:39" ht="12.75" customHeight="1">
      <c r="C231" s="12"/>
      <c r="D231" s="12"/>
      <c r="E231" s="12"/>
      <c r="F231" s="12"/>
      <c r="G231" s="12"/>
      <c r="H231" s="12"/>
      <c r="I231" s="12"/>
      <c r="J231" s="12"/>
      <c r="K231" s="12"/>
      <c r="L231" s="12"/>
      <c r="M231" s="12"/>
      <c r="P231" s="12"/>
      <c r="Q231" s="12"/>
      <c r="R231" s="12"/>
      <c r="S231" s="12"/>
      <c r="T231" s="12"/>
      <c r="U231" s="12"/>
      <c r="V231" s="12"/>
      <c r="W231" s="12"/>
      <c r="X231" s="12"/>
      <c r="Y231" s="12"/>
      <c r="Z231" s="12"/>
      <c r="AC231" s="12"/>
      <c r="AD231" s="12"/>
      <c r="AE231" s="12"/>
      <c r="AF231" s="12"/>
      <c r="AG231" s="12"/>
      <c r="AH231" s="12"/>
      <c r="AI231" s="12"/>
      <c r="AJ231" s="12"/>
      <c r="AK231" s="12"/>
      <c r="AL231" s="12"/>
      <c r="AM231" s="12"/>
    </row>
    <row r="232" spans="3:39" ht="12.75" customHeight="1">
      <c r="C232" s="12"/>
      <c r="D232" s="12"/>
      <c r="E232" s="12"/>
      <c r="F232" s="12"/>
      <c r="G232" s="12"/>
      <c r="H232" s="12"/>
      <c r="I232" s="12"/>
      <c r="J232" s="12"/>
      <c r="K232" s="12"/>
      <c r="L232" s="12"/>
      <c r="M232" s="12"/>
      <c r="P232" s="12"/>
      <c r="Q232" s="12"/>
      <c r="R232" s="12"/>
      <c r="S232" s="12"/>
      <c r="T232" s="12"/>
      <c r="U232" s="12"/>
      <c r="V232" s="12"/>
      <c r="W232" s="12"/>
      <c r="X232" s="12"/>
      <c r="Y232" s="12"/>
      <c r="Z232" s="12"/>
      <c r="AC232" s="12"/>
      <c r="AD232" s="12"/>
      <c r="AE232" s="12"/>
      <c r="AF232" s="12"/>
      <c r="AG232" s="12"/>
      <c r="AH232" s="12"/>
      <c r="AI232" s="12"/>
      <c r="AJ232" s="12"/>
      <c r="AK232" s="12"/>
      <c r="AL232" s="12"/>
      <c r="AM232" s="12"/>
    </row>
    <row r="233" spans="3:39" ht="12.75" customHeight="1">
      <c r="C233" s="12"/>
      <c r="D233" s="12"/>
      <c r="E233" s="12"/>
      <c r="F233" s="12"/>
      <c r="G233" s="12"/>
      <c r="H233" s="12"/>
      <c r="I233" s="12"/>
      <c r="J233" s="12"/>
      <c r="K233" s="12"/>
      <c r="L233" s="12"/>
      <c r="M233" s="12"/>
      <c r="P233" s="12"/>
      <c r="Q233" s="12"/>
      <c r="R233" s="12"/>
      <c r="S233" s="12"/>
      <c r="T233" s="12"/>
      <c r="U233" s="12"/>
      <c r="V233" s="12"/>
      <c r="W233" s="12"/>
      <c r="X233" s="12"/>
      <c r="Y233" s="12"/>
      <c r="Z233" s="12"/>
      <c r="AC233" s="12"/>
      <c r="AD233" s="12"/>
      <c r="AE233" s="12"/>
      <c r="AF233" s="12"/>
      <c r="AG233" s="12"/>
      <c r="AH233" s="12"/>
      <c r="AI233" s="12"/>
      <c r="AJ233" s="12"/>
      <c r="AK233" s="12"/>
      <c r="AL233" s="12"/>
      <c r="AM233" s="12"/>
    </row>
    <row r="234" spans="3:39" ht="12.75" customHeight="1">
      <c r="C234" s="12"/>
      <c r="D234" s="12"/>
      <c r="E234" s="12"/>
      <c r="F234" s="12"/>
      <c r="G234" s="12"/>
      <c r="H234" s="12"/>
      <c r="I234" s="12"/>
      <c r="J234" s="12"/>
      <c r="K234" s="12"/>
      <c r="L234" s="12"/>
      <c r="M234" s="12"/>
      <c r="P234" s="12"/>
      <c r="Q234" s="12"/>
      <c r="R234" s="12"/>
      <c r="S234" s="12"/>
      <c r="T234" s="12"/>
      <c r="U234" s="12"/>
      <c r="V234" s="12"/>
      <c r="W234" s="12"/>
      <c r="X234" s="12"/>
      <c r="Y234" s="12"/>
      <c r="Z234" s="12"/>
      <c r="AC234" s="12"/>
      <c r="AD234" s="12"/>
      <c r="AE234" s="12"/>
      <c r="AF234" s="12"/>
      <c r="AG234" s="12"/>
      <c r="AH234" s="12"/>
      <c r="AI234" s="12"/>
      <c r="AJ234" s="12"/>
      <c r="AK234" s="12"/>
      <c r="AL234" s="12"/>
      <c r="AM234" s="12"/>
    </row>
    <row r="235" spans="3:39" ht="12.75" customHeight="1">
      <c r="C235" s="12"/>
      <c r="D235" s="12"/>
      <c r="E235" s="12"/>
      <c r="F235" s="12"/>
      <c r="G235" s="12"/>
      <c r="H235" s="12"/>
      <c r="I235" s="12"/>
      <c r="J235" s="12"/>
      <c r="K235" s="12"/>
      <c r="L235" s="12"/>
      <c r="M235" s="12"/>
      <c r="P235" s="12"/>
      <c r="Q235" s="12"/>
      <c r="R235" s="12"/>
      <c r="S235" s="12"/>
      <c r="T235" s="12"/>
      <c r="U235" s="12"/>
      <c r="V235" s="12"/>
      <c r="W235" s="12"/>
      <c r="X235" s="12"/>
      <c r="Y235" s="12"/>
      <c r="Z235" s="12"/>
      <c r="AC235" s="12"/>
      <c r="AD235" s="12"/>
      <c r="AE235" s="12"/>
      <c r="AF235" s="12"/>
      <c r="AG235" s="12"/>
      <c r="AH235" s="12"/>
      <c r="AI235" s="12"/>
      <c r="AJ235" s="12"/>
      <c r="AK235" s="12"/>
      <c r="AL235" s="12"/>
      <c r="AM235" s="12"/>
    </row>
    <row r="236" spans="3:39" ht="12.75">
      <c r="C236" s="12"/>
      <c r="D236" s="12"/>
      <c r="E236" s="12"/>
      <c r="F236" s="12"/>
      <c r="G236" s="12"/>
      <c r="H236" s="12"/>
      <c r="I236" s="12"/>
      <c r="J236" s="12"/>
      <c r="K236" s="12"/>
      <c r="L236" s="12"/>
      <c r="M236" s="12"/>
      <c r="P236" s="12"/>
      <c r="Q236" s="12"/>
      <c r="R236" s="12"/>
      <c r="S236" s="12"/>
      <c r="T236" s="12"/>
      <c r="U236" s="12"/>
      <c r="V236" s="12"/>
      <c r="W236" s="12"/>
      <c r="X236" s="12"/>
      <c r="Y236" s="12"/>
      <c r="Z236" s="12"/>
      <c r="AC236" s="12"/>
      <c r="AD236" s="12"/>
      <c r="AE236" s="12"/>
      <c r="AF236" s="12"/>
      <c r="AG236" s="12"/>
      <c r="AH236" s="12"/>
      <c r="AI236" s="12"/>
      <c r="AJ236" s="12"/>
      <c r="AK236" s="12"/>
      <c r="AL236" s="12"/>
      <c r="AM236" s="12"/>
    </row>
    <row r="237" spans="3:39" ht="12.75">
      <c r="C237" s="12"/>
      <c r="D237" s="12"/>
      <c r="E237" s="12"/>
      <c r="F237" s="12"/>
      <c r="G237" s="12"/>
      <c r="H237" s="12"/>
      <c r="I237" s="12"/>
      <c r="J237" s="12"/>
      <c r="K237" s="12"/>
      <c r="L237" s="12"/>
      <c r="M237" s="12"/>
      <c r="P237" s="12"/>
      <c r="Q237" s="12"/>
      <c r="R237" s="12"/>
      <c r="S237" s="12"/>
      <c r="T237" s="12"/>
      <c r="U237" s="12"/>
      <c r="V237" s="12"/>
      <c r="W237" s="12"/>
      <c r="X237" s="12"/>
      <c r="Y237" s="12"/>
      <c r="Z237" s="12"/>
      <c r="AC237" s="12"/>
      <c r="AD237" s="12"/>
      <c r="AE237" s="12"/>
      <c r="AF237" s="12"/>
      <c r="AG237" s="12"/>
      <c r="AH237" s="12"/>
      <c r="AI237" s="12"/>
      <c r="AJ237" s="12"/>
      <c r="AK237" s="12"/>
      <c r="AL237" s="12"/>
      <c r="AM237" s="12"/>
    </row>
    <row r="238" spans="3:39" ht="12.75">
      <c r="C238" s="12"/>
      <c r="D238" s="12"/>
      <c r="E238" s="12"/>
      <c r="F238" s="12"/>
      <c r="G238" s="12"/>
      <c r="H238" s="12"/>
      <c r="I238" s="12"/>
      <c r="J238" s="12"/>
      <c r="K238" s="12"/>
      <c r="L238" s="12"/>
      <c r="M238" s="12"/>
      <c r="P238" s="12"/>
      <c r="Q238" s="12"/>
      <c r="R238" s="12"/>
      <c r="S238" s="12"/>
      <c r="T238" s="12"/>
      <c r="U238" s="12"/>
      <c r="V238" s="12"/>
      <c r="W238" s="12"/>
      <c r="X238" s="12"/>
      <c r="Y238" s="12"/>
      <c r="Z238" s="12"/>
      <c r="AC238" s="12"/>
      <c r="AD238" s="12"/>
      <c r="AE238" s="12"/>
      <c r="AF238" s="12"/>
      <c r="AG238" s="12"/>
      <c r="AH238" s="12"/>
      <c r="AI238" s="12"/>
      <c r="AJ238" s="12"/>
      <c r="AK238" s="12"/>
      <c r="AL238" s="12"/>
      <c r="AM238" s="12"/>
    </row>
    <row r="239" spans="3:39" ht="12.75">
      <c r="C239" s="12"/>
      <c r="D239" s="12"/>
      <c r="E239" s="12"/>
      <c r="F239" s="12"/>
      <c r="G239" s="12"/>
      <c r="H239" s="12"/>
      <c r="I239" s="12"/>
      <c r="J239" s="12"/>
      <c r="K239" s="12"/>
      <c r="L239" s="12"/>
      <c r="M239" s="12"/>
      <c r="P239" s="12"/>
      <c r="Q239" s="12"/>
      <c r="R239" s="12"/>
      <c r="S239" s="12"/>
      <c r="T239" s="12"/>
      <c r="U239" s="12"/>
      <c r="V239" s="12"/>
      <c r="W239" s="12"/>
      <c r="X239" s="12"/>
      <c r="Y239" s="12"/>
      <c r="Z239" s="12"/>
      <c r="AC239" s="12"/>
      <c r="AD239" s="12"/>
      <c r="AE239" s="12"/>
      <c r="AF239" s="12"/>
      <c r="AG239" s="12"/>
      <c r="AH239" s="12"/>
      <c r="AI239" s="12"/>
      <c r="AJ239" s="12"/>
      <c r="AK239" s="12"/>
      <c r="AL239" s="12"/>
      <c r="AM239" s="12"/>
    </row>
    <row r="240" spans="3:39" ht="12.75">
      <c r="C240" s="12"/>
      <c r="D240" s="12"/>
      <c r="E240" s="12"/>
      <c r="F240" s="12"/>
      <c r="G240" s="12"/>
      <c r="H240" s="12"/>
      <c r="I240" s="12"/>
      <c r="J240" s="12"/>
      <c r="K240" s="12"/>
      <c r="L240" s="12"/>
      <c r="M240" s="12"/>
      <c r="P240" s="12"/>
      <c r="Q240" s="12"/>
      <c r="R240" s="12"/>
      <c r="S240" s="12"/>
      <c r="T240" s="12"/>
      <c r="U240" s="12"/>
      <c r="V240" s="12"/>
      <c r="W240" s="12"/>
      <c r="X240" s="12"/>
      <c r="Y240" s="12"/>
      <c r="Z240" s="12"/>
      <c r="AC240" s="12"/>
      <c r="AD240" s="12"/>
      <c r="AE240" s="12"/>
      <c r="AF240" s="12"/>
      <c r="AG240" s="12"/>
      <c r="AH240" s="12"/>
      <c r="AI240" s="12"/>
      <c r="AJ240" s="12"/>
      <c r="AK240" s="12"/>
      <c r="AL240" s="12"/>
      <c r="AM240" s="12"/>
    </row>
    <row r="241" spans="3:39" ht="12.75">
      <c r="C241" s="12"/>
      <c r="D241" s="12"/>
      <c r="E241" s="12"/>
      <c r="F241" s="12"/>
      <c r="G241" s="12"/>
      <c r="H241" s="12"/>
      <c r="I241" s="12"/>
      <c r="J241" s="12"/>
      <c r="K241" s="12"/>
      <c r="L241" s="12"/>
      <c r="M241" s="12"/>
      <c r="P241" s="12"/>
      <c r="Q241" s="12"/>
      <c r="R241" s="12"/>
      <c r="S241" s="12"/>
      <c r="T241" s="12"/>
      <c r="U241" s="12"/>
      <c r="V241" s="12"/>
      <c r="W241" s="12"/>
      <c r="X241" s="12"/>
      <c r="Y241" s="12"/>
      <c r="Z241" s="12"/>
      <c r="AC241" s="12"/>
      <c r="AD241" s="12"/>
      <c r="AE241" s="12"/>
      <c r="AF241" s="12"/>
      <c r="AG241" s="12"/>
      <c r="AH241" s="12"/>
      <c r="AI241" s="12"/>
      <c r="AJ241" s="12"/>
      <c r="AK241" s="12"/>
      <c r="AL241" s="12"/>
      <c r="AM241" s="12"/>
    </row>
    <row r="242" spans="3:39" ht="12.75">
      <c r="C242" s="12"/>
      <c r="D242" s="12"/>
      <c r="E242" s="12"/>
      <c r="F242" s="12"/>
      <c r="G242" s="12"/>
      <c r="H242" s="12"/>
      <c r="I242" s="12"/>
      <c r="J242" s="12"/>
      <c r="K242" s="12"/>
      <c r="L242" s="12"/>
      <c r="M242" s="12"/>
      <c r="P242" s="12"/>
      <c r="Q242" s="12"/>
      <c r="R242" s="12"/>
      <c r="S242" s="12"/>
      <c r="T242" s="12"/>
      <c r="U242" s="12"/>
      <c r="V242" s="12"/>
      <c r="W242" s="12"/>
      <c r="X242" s="12"/>
      <c r="Y242" s="12"/>
      <c r="Z242" s="12"/>
      <c r="AC242" s="12"/>
      <c r="AD242" s="12"/>
      <c r="AE242" s="12"/>
      <c r="AF242" s="12"/>
      <c r="AG242" s="12"/>
      <c r="AH242" s="12"/>
      <c r="AI242" s="12"/>
      <c r="AJ242" s="12"/>
      <c r="AK242" s="12"/>
      <c r="AL242" s="12"/>
      <c r="AM242" s="12"/>
    </row>
    <row r="243" spans="3:39" ht="12.75">
      <c r="C243" s="12"/>
      <c r="D243" s="12"/>
      <c r="E243" s="12"/>
      <c r="F243" s="12"/>
      <c r="G243" s="12"/>
      <c r="H243" s="12"/>
      <c r="I243" s="12"/>
      <c r="J243" s="12"/>
      <c r="K243" s="12"/>
      <c r="L243" s="12"/>
      <c r="M243" s="12"/>
      <c r="P243" s="12"/>
      <c r="Q243" s="12"/>
      <c r="R243" s="12"/>
      <c r="S243" s="12"/>
      <c r="T243" s="12"/>
      <c r="U243" s="12"/>
      <c r="V243" s="12"/>
      <c r="W243" s="12"/>
      <c r="X243" s="12"/>
      <c r="Y243" s="12"/>
      <c r="Z243" s="12"/>
      <c r="AC243" s="12"/>
      <c r="AD243" s="12"/>
      <c r="AE243" s="12"/>
      <c r="AF243" s="12"/>
      <c r="AG243" s="12"/>
      <c r="AH243" s="12"/>
      <c r="AI243" s="12"/>
      <c r="AJ243" s="12"/>
      <c r="AK243" s="12"/>
      <c r="AL243" s="12"/>
      <c r="AM243" s="12"/>
    </row>
    <row r="244" spans="3:39" ht="12.75">
      <c r="C244" s="12"/>
      <c r="D244" s="12"/>
      <c r="E244" s="12"/>
      <c r="F244" s="12"/>
      <c r="G244" s="12"/>
      <c r="H244" s="12"/>
      <c r="I244" s="12"/>
      <c r="J244" s="12"/>
      <c r="K244" s="12"/>
      <c r="L244" s="12"/>
      <c r="M244" s="12"/>
      <c r="P244" s="12"/>
      <c r="Q244" s="12"/>
      <c r="R244" s="12"/>
      <c r="S244" s="12"/>
      <c r="T244" s="12"/>
      <c r="U244" s="12"/>
      <c r="V244" s="12"/>
      <c r="W244" s="12"/>
      <c r="X244" s="12"/>
      <c r="Y244" s="12"/>
      <c r="Z244" s="12"/>
      <c r="AC244" s="12"/>
      <c r="AD244" s="12"/>
      <c r="AE244" s="12"/>
      <c r="AF244" s="12"/>
      <c r="AG244" s="12"/>
      <c r="AH244" s="12"/>
      <c r="AI244" s="12"/>
      <c r="AJ244" s="12"/>
      <c r="AK244" s="12"/>
      <c r="AL244" s="12"/>
      <c r="AM244" s="12"/>
    </row>
    <row r="245" spans="3:39" ht="12.75">
      <c r="C245" s="12"/>
      <c r="D245" s="12"/>
      <c r="E245" s="12"/>
      <c r="F245" s="12"/>
      <c r="G245" s="12"/>
      <c r="H245" s="12"/>
      <c r="I245" s="12"/>
      <c r="J245" s="12"/>
      <c r="K245" s="12"/>
      <c r="L245" s="12"/>
      <c r="M245" s="12"/>
      <c r="P245" s="12"/>
      <c r="Q245" s="12"/>
      <c r="R245" s="12"/>
      <c r="S245" s="12"/>
      <c r="T245" s="12"/>
      <c r="U245" s="12"/>
      <c r="V245" s="12"/>
      <c r="W245" s="12"/>
      <c r="X245" s="12"/>
      <c r="Y245" s="12"/>
      <c r="Z245" s="12"/>
      <c r="AC245" s="12"/>
      <c r="AD245" s="12"/>
      <c r="AE245" s="12"/>
      <c r="AF245" s="12"/>
      <c r="AG245" s="12"/>
      <c r="AH245" s="12"/>
      <c r="AI245" s="12"/>
      <c r="AJ245" s="12"/>
      <c r="AK245" s="12"/>
      <c r="AL245" s="12"/>
      <c r="AM245" s="12"/>
    </row>
    <row r="246" spans="3:39" ht="12.75">
      <c r="C246" s="12"/>
      <c r="D246" s="12"/>
      <c r="E246" s="12"/>
      <c r="F246" s="12"/>
      <c r="G246" s="12"/>
      <c r="H246" s="12"/>
      <c r="I246" s="12"/>
      <c r="J246" s="12"/>
      <c r="K246" s="12"/>
      <c r="L246" s="12"/>
      <c r="M246" s="12"/>
      <c r="P246" s="12"/>
      <c r="Q246" s="12"/>
      <c r="R246" s="12"/>
      <c r="S246" s="12"/>
      <c r="T246" s="12"/>
      <c r="U246" s="12"/>
      <c r="V246" s="12"/>
      <c r="W246" s="12"/>
      <c r="X246" s="12"/>
      <c r="Y246" s="12"/>
      <c r="Z246" s="12"/>
      <c r="AC246" s="12"/>
      <c r="AD246" s="12"/>
      <c r="AE246" s="12"/>
      <c r="AF246" s="12"/>
      <c r="AG246" s="12"/>
      <c r="AH246" s="12"/>
      <c r="AI246" s="12"/>
      <c r="AJ246" s="12"/>
      <c r="AK246" s="12"/>
      <c r="AL246" s="12"/>
      <c r="AM246" s="12"/>
    </row>
    <row r="247" spans="3:39" ht="12.75">
      <c r="C247" s="12"/>
      <c r="D247" s="12"/>
      <c r="E247" s="12"/>
      <c r="F247" s="12"/>
      <c r="G247" s="12"/>
      <c r="H247" s="12"/>
      <c r="I247" s="12"/>
      <c r="J247" s="12"/>
      <c r="K247" s="12"/>
      <c r="L247" s="12"/>
      <c r="M247" s="12"/>
      <c r="P247" s="12"/>
      <c r="Q247" s="12"/>
      <c r="R247" s="12"/>
      <c r="S247" s="12"/>
      <c r="T247" s="12"/>
      <c r="U247" s="12"/>
      <c r="V247" s="12"/>
      <c r="W247" s="12"/>
      <c r="X247" s="12"/>
      <c r="Y247" s="12"/>
      <c r="Z247" s="12"/>
      <c r="AC247" s="12"/>
      <c r="AD247" s="12"/>
      <c r="AE247" s="12"/>
      <c r="AF247" s="12"/>
      <c r="AG247" s="12"/>
      <c r="AH247" s="12"/>
      <c r="AI247" s="12"/>
      <c r="AJ247" s="12"/>
      <c r="AK247" s="12"/>
      <c r="AL247" s="12"/>
      <c r="AM247" s="12"/>
    </row>
    <row r="248" spans="3:39" ht="12.75">
      <c r="C248" s="12"/>
      <c r="D248" s="12"/>
      <c r="E248" s="12"/>
      <c r="F248" s="12"/>
      <c r="G248" s="12"/>
      <c r="H248" s="12"/>
      <c r="I248" s="12"/>
      <c r="J248" s="12"/>
      <c r="K248" s="12"/>
      <c r="L248" s="12"/>
      <c r="M248" s="12"/>
      <c r="P248" s="12"/>
      <c r="Q248" s="12"/>
      <c r="R248" s="12"/>
      <c r="S248" s="12"/>
      <c r="T248" s="12"/>
      <c r="U248" s="12"/>
      <c r="V248" s="12"/>
      <c r="W248" s="12"/>
      <c r="X248" s="12"/>
      <c r="Y248" s="12"/>
      <c r="Z248" s="12"/>
      <c r="AC248" s="12"/>
      <c r="AD248" s="12"/>
      <c r="AE248" s="12"/>
      <c r="AF248" s="12"/>
      <c r="AG248" s="12"/>
      <c r="AH248" s="12"/>
      <c r="AI248" s="12"/>
      <c r="AJ248" s="12"/>
      <c r="AK248" s="12"/>
      <c r="AL248" s="12"/>
      <c r="AM248" s="12"/>
    </row>
    <row r="249" spans="3:39" ht="12.75">
      <c r="C249" s="12"/>
      <c r="D249" s="12"/>
      <c r="E249" s="12"/>
      <c r="F249" s="12"/>
      <c r="G249" s="12"/>
      <c r="H249" s="12"/>
      <c r="I249" s="12"/>
      <c r="J249" s="12"/>
      <c r="K249" s="12"/>
      <c r="L249" s="12"/>
      <c r="M249" s="12"/>
      <c r="P249" s="12"/>
      <c r="Q249" s="12"/>
      <c r="R249" s="12"/>
      <c r="S249" s="12"/>
      <c r="T249" s="12"/>
      <c r="U249" s="12"/>
      <c r="V249" s="12"/>
      <c r="W249" s="12"/>
      <c r="X249" s="12"/>
      <c r="Y249" s="12"/>
      <c r="Z249" s="12"/>
      <c r="AC249" s="12"/>
      <c r="AD249" s="12"/>
      <c r="AE249" s="12"/>
      <c r="AF249" s="12"/>
      <c r="AG249" s="12"/>
      <c r="AH249" s="12"/>
      <c r="AI249" s="12"/>
      <c r="AJ249" s="12"/>
      <c r="AK249" s="12"/>
      <c r="AL249" s="12"/>
      <c r="AM249" s="12"/>
    </row>
    <row r="250" spans="3:39" ht="12.75">
      <c r="C250" s="12"/>
      <c r="D250" s="12"/>
      <c r="E250" s="12"/>
      <c r="F250" s="12"/>
      <c r="G250" s="12"/>
      <c r="H250" s="12"/>
      <c r="I250" s="12"/>
      <c r="J250" s="12"/>
      <c r="K250" s="12"/>
      <c r="L250" s="12"/>
      <c r="M250" s="12"/>
      <c r="P250" s="12"/>
      <c r="Q250" s="12"/>
      <c r="R250" s="12"/>
      <c r="S250" s="12"/>
      <c r="T250" s="12"/>
      <c r="U250" s="12"/>
      <c r="V250" s="12"/>
      <c r="W250" s="12"/>
      <c r="X250" s="12"/>
      <c r="Y250" s="12"/>
      <c r="Z250" s="12"/>
      <c r="AC250" s="12"/>
      <c r="AD250" s="12"/>
      <c r="AE250" s="12"/>
      <c r="AF250" s="12"/>
      <c r="AG250" s="12"/>
      <c r="AH250" s="12"/>
      <c r="AI250" s="12"/>
      <c r="AJ250" s="12"/>
      <c r="AK250" s="12"/>
      <c r="AL250" s="12"/>
      <c r="AM250" s="12"/>
    </row>
    <row r="251" spans="3:39" ht="12.75">
      <c r="C251" s="12"/>
      <c r="D251" s="12"/>
      <c r="E251" s="12"/>
      <c r="F251" s="12"/>
      <c r="G251" s="12"/>
      <c r="H251" s="12"/>
      <c r="I251" s="12"/>
      <c r="J251" s="12"/>
      <c r="K251" s="12"/>
      <c r="L251" s="12"/>
      <c r="M251" s="12"/>
      <c r="P251" s="12"/>
      <c r="Q251" s="12"/>
      <c r="R251" s="12"/>
      <c r="S251" s="12"/>
      <c r="T251" s="12"/>
      <c r="U251" s="12"/>
      <c r="V251" s="12"/>
      <c r="W251" s="12"/>
      <c r="X251" s="12"/>
      <c r="Y251" s="12"/>
      <c r="Z251" s="12"/>
      <c r="AC251" s="12"/>
      <c r="AD251" s="12"/>
      <c r="AE251" s="12"/>
      <c r="AF251" s="12"/>
      <c r="AG251" s="12"/>
      <c r="AH251" s="12"/>
      <c r="AI251" s="12"/>
      <c r="AJ251" s="12"/>
      <c r="AK251" s="12"/>
      <c r="AL251" s="12"/>
      <c r="AM251" s="12"/>
    </row>
    <row r="252" spans="3:39" ht="12.75">
      <c r="C252" s="12"/>
      <c r="D252" s="12"/>
      <c r="E252" s="12"/>
      <c r="F252" s="12"/>
      <c r="G252" s="12"/>
      <c r="H252" s="12"/>
      <c r="I252" s="12"/>
      <c r="J252" s="12"/>
      <c r="K252" s="12"/>
      <c r="L252" s="12"/>
      <c r="M252" s="12"/>
      <c r="P252" s="12"/>
      <c r="Q252" s="12"/>
      <c r="R252" s="12"/>
      <c r="S252" s="12"/>
      <c r="T252" s="12"/>
      <c r="U252" s="12"/>
      <c r="V252" s="12"/>
      <c r="W252" s="12"/>
      <c r="X252" s="12"/>
      <c r="Y252" s="12"/>
      <c r="Z252" s="12"/>
      <c r="AC252" s="12"/>
      <c r="AD252" s="12"/>
      <c r="AE252" s="12"/>
      <c r="AF252" s="12"/>
      <c r="AG252" s="12"/>
      <c r="AH252" s="12"/>
      <c r="AI252" s="12"/>
      <c r="AJ252" s="12"/>
      <c r="AK252" s="12"/>
      <c r="AL252" s="12"/>
      <c r="AM252" s="12"/>
    </row>
    <row r="253" spans="3:39" ht="12.75">
      <c r="C253" s="12"/>
      <c r="D253" s="12"/>
      <c r="E253" s="12"/>
      <c r="F253" s="12"/>
      <c r="G253" s="12"/>
      <c r="H253" s="12"/>
      <c r="I253" s="12"/>
      <c r="J253" s="12"/>
      <c r="K253" s="12"/>
      <c r="L253" s="12"/>
      <c r="M253" s="12"/>
      <c r="P253" s="12"/>
      <c r="Q253" s="12"/>
      <c r="R253" s="12"/>
      <c r="S253" s="12"/>
      <c r="T253" s="12"/>
      <c r="U253" s="12"/>
      <c r="V253" s="12"/>
      <c r="W253" s="12"/>
      <c r="X253" s="12"/>
      <c r="Y253" s="12"/>
      <c r="Z253" s="12"/>
      <c r="AC253" s="12"/>
      <c r="AD253" s="12"/>
      <c r="AE253" s="12"/>
      <c r="AF253" s="12"/>
      <c r="AG253" s="12"/>
      <c r="AH253" s="12"/>
      <c r="AI253" s="12"/>
      <c r="AJ253" s="12"/>
      <c r="AK253" s="12"/>
      <c r="AL253" s="12"/>
      <c r="AM253" s="12"/>
    </row>
    <row r="254" spans="3:39" ht="12.75">
      <c r="C254" s="12"/>
      <c r="D254" s="12"/>
      <c r="E254" s="12"/>
      <c r="F254" s="12"/>
      <c r="G254" s="12"/>
      <c r="H254" s="12"/>
      <c r="I254" s="12"/>
      <c r="J254" s="12"/>
      <c r="K254" s="12"/>
      <c r="L254" s="12"/>
      <c r="M254" s="12"/>
      <c r="P254" s="12"/>
      <c r="Q254" s="12"/>
      <c r="R254" s="12"/>
      <c r="S254" s="12"/>
      <c r="T254" s="12"/>
      <c r="U254" s="12"/>
      <c r="V254" s="12"/>
      <c r="W254" s="12"/>
      <c r="X254" s="12"/>
      <c r="Y254" s="12"/>
      <c r="Z254" s="12"/>
      <c r="AC254" s="12"/>
      <c r="AD254" s="12"/>
      <c r="AE254" s="12"/>
      <c r="AF254" s="12"/>
      <c r="AG254" s="12"/>
      <c r="AH254" s="12"/>
      <c r="AI254" s="12"/>
      <c r="AJ254" s="12"/>
      <c r="AK254" s="12"/>
      <c r="AL254" s="12"/>
      <c r="AM254" s="12"/>
    </row>
    <row r="255" spans="3:39" ht="12.75">
      <c r="C255" s="12"/>
      <c r="D255" s="12"/>
      <c r="E255" s="12"/>
      <c r="F255" s="12"/>
      <c r="G255" s="12"/>
      <c r="H255" s="12"/>
      <c r="I255" s="12"/>
      <c r="J255" s="12"/>
      <c r="K255" s="12"/>
      <c r="L255" s="12"/>
      <c r="M255" s="12"/>
      <c r="P255" s="12"/>
      <c r="Q255" s="12"/>
      <c r="R255" s="12"/>
      <c r="S255" s="12"/>
      <c r="T255" s="12"/>
      <c r="U255" s="12"/>
      <c r="V255" s="12"/>
      <c r="W255" s="12"/>
      <c r="X255" s="12"/>
      <c r="Y255" s="12"/>
      <c r="Z255" s="12"/>
      <c r="AC255" s="12"/>
      <c r="AD255" s="12"/>
      <c r="AE255" s="12"/>
      <c r="AF255" s="12"/>
      <c r="AG255" s="12"/>
      <c r="AH255" s="12"/>
      <c r="AI255" s="12"/>
      <c r="AJ255" s="12"/>
      <c r="AK255" s="12"/>
      <c r="AL255" s="12"/>
      <c r="AM255" s="12"/>
    </row>
    <row r="256" spans="3:39" ht="12.75">
      <c r="C256" s="12"/>
      <c r="D256" s="12"/>
      <c r="E256" s="12"/>
      <c r="F256" s="12"/>
      <c r="G256" s="12"/>
      <c r="H256" s="12"/>
      <c r="I256" s="12"/>
      <c r="J256" s="12"/>
      <c r="K256" s="12"/>
      <c r="L256" s="12"/>
      <c r="M256" s="12"/>
      <c r="P256" s="12"/>
      <c r="Q256" s="12"/>
      <c r="R256" s="12"/>
      <c r="S256" s="12"/>
      <c r="T256" s="12"/>
      <c r="U256" s="12"/>
      <c r="V256" s="12"/>
      <c r="W256" s="12"/>
      <c r="X256" s="12"/>
      <c r="Y256" s="12"/>
      <c r="Z256" s="12"/>
      <c r="AC256" s="12"/>
      <c r="AD256" s="12"/>
      <c r="AE256" s="12"/>
      <c r="AF256" s="12"/>
      <c r="AG256" s="12"/>
      <c r="AH256" s="12"/>
      <c r="AI256" s="12"/>
      <c r="AJ256" s="12"/>
      <c r="AK256" s="12"/>
      <c r="AL256" s="12"/>
      <c r="AM256" s="12"/>
    </row>
    <row r="257" spans="3:39" ht="12.75">
      <c r="C257" s="12"/>
      <c r="D257" s="12"/>
      <c r="E257" s="12"/>
      <c r="F257" s="12"/>
      <c r="G257" s="12"/>
      <c r="H257" s="12"/>
      <c r="I257" s="12"/>
      <c r="J257" s="12"/>
      <c r="K257" s="12"/>
      <c r="L257" s="12"/>
      <c r="M257" s="12"/>
      <c r="P257" s="12"/>
      <c r="Q257" s="12"/>
      <c r="R257" s="12"/>
      <c r="S257" s="12"/>
      <c r="T257" s="12"/>
      <c r="U257" s="12"/>
      <c r="V257" s="12"/>
      <c r="W257" s="12"/>
      <c r="X257" s="12"/>
      <c r="Y257" s="12"/>
      <c r="Z257" s="12"/>
      <c r="AC257" s="12"/>
      <c r="AD257" s="12"/>
      <c r="AE257" s="12"/>
      <c r="AF257" s="12"/>
      <c r="AG257" s="12"/>
      <c r="AH257" s="12"/>
      <c r="AI257" s="12"/>
      <c r="AJ257" s="12"/>
      <c r="AK257" s="12"/>
      <c r="AL257" s="12"/>
      <c r="AM257" s="12"/>
    </row>
    <row r="258" spans="3:39" ht="12.75">
      <c r="C258" s="12"/>
      <c r="D258" s="12"/>
      <c r="E258" s="12"/>
      <c r="F258" s="12"/>
      <c r="G258" s="12"/>
      <c r="H258" s="12"/>
      <c r="I258" s="12"/>
      <c r="J258" s="12"/>
      <c r="K258" s="12"/>
      <c r="L258" s="12"/>
      <c r="M258" s="12"/>
      <c r="P258" s="12"/>
      <c r="Q258" s="12"/>
      <c r="R258" s="12"/>
      <c r="S258" s="12"/>
      <c r="T258" s="12"/>
      <c r="U258" s="12"/>
      <c r="V258" s="12"/>
      <c r="W258" s="12"/>
      <c r="X258" s="12"/>
      <c r="Y258" s="12"/>
      <c r="Z258" s="12"/>
      <c r="AC258" s="12"/>
      <c r="AD258" s="12"/>
      <c r="AE258" s="12"/>
      <c r="AF258" s="12"/>
      <c r="AG258" s="12"/>
      <c r="AH258" s="12"/>
      <c r="AI258" s="12"/>
      <c r="AJ258" s="12"/>
      <c r="AK258" s="12"/>
      <c r="AL258" s="12"/>
      <c r="AM258" s="12"/>
    </row>
    <row r="259" spans="3:39" ht="12.75">
      <c r="C259" s="12"/>
      <c r="D259" s="12"/>
      <c r="E259" s="12"/>
      <c r="F259" s="12"/>
      <c r="G259" s="12"/>
      <c r="H259" s="12"/>
      <c r="I259" s="12"/>
      <c r="J259" s="12"/>
      <c r="K259" s="12"/>
      <c r="L259" s="12"/>
      <c r="M259" s="12"/>
      <c r="P259" s="12"/>
      <c r="Q259" s="12"/>
      <c r="R259" s="12"/>
      <c r="S259" s="12"/>
      <c r="T259" s="12"/>
      <c r="U259" s="12"/>
      <c r="V259" s="12"/>
      <c r="W259" s="12"/>
      <c r="X259" s="12"/>
      <c r="Y259" s="12"/>
      <c r="Z259" s="12"/>
      <c r="AC259" s="12"/>
      <c r="AD259" s="12"/>
      <c r="AE259" s="12"/>
      <c r="AF259" s="12"/>
      <c r="AG259" s="12"/>
      <c r="AH259" s="12"/>
      <c r="AI259" s="12"/>
      <c r="AJ259" s="12"/>
      <c r="AK259" s="12"/>
      <c r="AL259" s="12"/>
      <c r="AM259" s="12"/>
    </row>
    <row r="260" spans="3:39" ht="12.75">
      <c r="C260" s="12"/>
      <c r="D260" s="12"/>
      <c r="E260" s="12"/>
      <c r="F260" s="12"/>
      <c r="G260" s="12"/>
      <c r="H260" s="12"/>
      <c r="I260" s="12"/>
      <c r="J260" s="12"/>
      <c r="K260" s="12"/>
      <c r="L260" s="12"/>
      <c r="M260" s="12"/>
      <c r="P260" s="12"/>
      <c r="Q260" s="12"/>
      <c r="R260" s="12"/>
      <c r="S260" s="12"/>
      <c r="T260" s="12"/>
      <c r="U260" s="12"/>
      <c r="V260" s="12"/>
      <c r="W260" s="12"/>
      <c r="X260" s="12"/>
      <c r="Y260" s="12"/>
      <c r="Z260" s="12"/>
      <c r="AC260" s="12"/>
      <c r="AD260" s="12"/>
      <c r="AE260" s="12"/>
      <c r="AF260" s="12"/>
      <c r="AG260" s="12"/>
      <c r="AH260" s="12"/>
      <c r="AI260" s="12"/>
      <c r="AJ260" s="12"/>
      <c r="AK260" s="12"/>
      <c r="AL260" s="12"/>
      <c r="AM260" s="12"/>
    </row>
    <row r="261" spans="3:39" ht="12.75">
      <c r="C261" s="12"/>
      <c r="D261" s="12"/>
      <c r="E261" s="12"/>
      <c r="F261" s="12"/>
      <c r="G261" s="12"/>
      <c r="H261" s="12"/>
      <c r="I261" s="12"/>
      <c r="J261" s="12"/>
      <c r="K261" s="12"/>
      <c r="L261" s="12"/>
      <c r="M261" s="12"/>
      <c r="P261" s="12"/>
      <c r="Q261" s="12"/>
      <c r="R261" s="12"/>
      <c r="S261" s="12"/>
      <c r="T261" s="12"/>
      <c r="U261" s="12"/>
      <c r="V261" s="12"/>
      <c r="W261" s="12"/>
      <c r="X261" s="12"/>
      <c r="Y261" s="12"/>
      <c r="Z261" s="12"/>
      <c r="AC261" s="12"/>
      <c r="AD261" s="12"/>
      <c r="AE261" s="12"/>
      <c r="AF261" s="12"/>
      <c r="AG261" s="12"/>
      <c r="AH261" s="12"/>
      <c r="AI261" s="12"/>
      <c r="AJ261" s="12"/>
      <c r="AK261" s="12"/>
      <c r="AL261" s="12"/>
      <c r="AM261" s="12"/>
    </row>
    <row r="262" spans="3:39" ht="12.75">
      <c r="C262" s="12"/>
      <c r="D262" s="12"/>
      <c r="E262" s="12"/>
      <c r="F262" s="12"/>
      <c r="G262" s="12"/>
      <c r="H262" s="12"/>
      <c r="I262" s="12"/>
      <c r="J262" s="12"/>
      <c r="K262" s="12"/>
      <c r="L262" s="12"/>
      <c r="M262" s="12"/>
      <c r="P262" s="12"/>
      <c r="Q262" s="12"/>
      <c r="R262" s="12"/>
      <c r="S262" s="12"/>
      <c r="T262" s="12"/>
      <c r="U262" s="12"/>
      <c r="V262" s="12"/>
      <c r="W262" s="12"/>
      <c r="X262" s="12"/>
      <c r="Y262" s="12"/>
      <c r="Z262" s="12"/>
      <c r="AC262" s="12"/>
      <c r="AD262" s="12"/>
      <c r="AE262" s="12"/>
      <c r="AF262" s="12"/>
      <c r="AG262" s="12"/>
      <c r="AH262" s="12"/>
      <c r="AI262" s="12"/>
      <c r="AJ262" s="12"/>
      <c r="AK262" s="12"/>
      <c r="AL262" s="12"/>
      <c r="AM262" s="12"/>
    </row>
    <row r="263" spans="3:39" ht="12.75">
      <c r="C263" s="12"/>
      <c r="D263" s="12"/>
      <c r="E263" s="12"/>
      <c r="F263" s="12"/>
      <c r="G263" s="12"/>
      <c r="H263" s="12"/>
      <c r="I263" s="12"/>
      <c r="J263" s="12"/>
      <c r="K263" s="12"/>
      <c r="L263" s="12"/>
      <c r="M263" s="12"/>
      <c r="P263" s="12"/>
      <c r="Q263" s="12"/>
      <c r="R263" s="12"/>
      <c r="S263" s="12"/>
      <c r="T263" s="12"/>
      <c r="U263" s="12"/>
      <c r="V263" s="12"/>
      <c r="W263" s="12"/>
      <c r="X263" s="12"/>
      <c r="Y263" s="12"/>
      <c r="Z263" s="12"/>
      <c r="AC263" s="12"/>
      <c r="AD263" s="12"/>
      <c r="AE263" s="12"/>
      <c r="AF263" s="12"/>
      <c r="AG263" s="12"/>
      <c r="AH263" s="12"/>
      <c r="AI263" s="12"/>
      <c r="AJ263" s="12"/>
      <c r="AK263" s="12"/>
      <c r="AL263" s="12"/>
      <c r="AM263" s="12"/>
    </row>
    <row r="264" spans="3:39" ht="12.75">
      <c r="C264" s="12"/>
      <c r="D264" s="12"/>
      <c r="E264" s="12"/>
      <c r="F264" s="12"/>
      <c r="G264" s="12"/>
      <c r="H264" s="12"/>
      <c r="I264" s="12"/>
      <c r="J264" s="12"/>
      <c r="K264" s="12"/>
      <c r="L264" s="12"/>
      <c r="M264" s="12"/>
      <c r="P264" s="12"/>
      <c r="Q264" s="12"/>
      <c r="R264" s="12"/>
      <c r="S264" s="12"/>
      <c r="T264" s="12"/>
      <c r="U264" s="12"/>
      <c r="V264" s="12"/>
      <c r="W264" s="12"/>
      <c r="X264" s="12"/>
      <c r="Y264" s="12"/>
      <c r="Z264" s="12"/>
      <c r="AC264" s="12"/>
      <c r="AD264" s="12"/>
      <c r="AE264" s="12"/>
      <c r="AF264" s="12"/>
      <c r="AG264" s="12"/>
      <c r="AH264" s="12"/>
      <c r="AI264" s="12"/>
      <c r="AJ264" s="12"/>
      <c r="AK264" s="12"/>
      <c r="AL264" s="12"/>
      <c r="AM264" s="12"/>
    </row>
    <row r="265" spans="3:39" ht="12.75">
      <c r="C265" s="12"/>
      <c r="D265" s="12"/>
      <c r="E265" s="12"/>
      <c r="F265" s="12"/>
      <c r="G265" s="12"/>
      <c r="H265" s="12"/>
      <c r="I265" s="12"/>
      <c r="J265" s="12"/>
      <c r="K265" s="12"/>
      <c r="L265" s="12"/>
      <c r="M265" s="12"/>
      <c r="P265" s="12"/>
      <c r="Q265" s="12"/>
      <c r="R265" s="12"/>
      <c r="S265" s="12"/>
      <c r="T265" s="12"/>
      <c r="U265" s="12"/>
      <c r="V265" s="12"/>
      <c r="W265" s="12"/>
      <c r="X265" s="12"/>
      <c r="Y265" s="12"/>
      <c r="Z265" s="12"/>
      <c r="AC265" s="12"/>
      <c r="AD265" s="12"/>
      <c r="AE265" s="12"/>
      <c r="AF265" s="12"/>
      <c r="AG265" s="12"/>
      <c r="AH265" s="12"/>
      <c r="AI265" s="12"/>
      <c r="AJ265" s="12"/>
      <c r="AK265" s="12"/>
      <c r="AL265" s="12"/>
      <c r="AM265" s="12"/>
    </row>
    <row r="266" spans="3:39" ht="12.75">
      <c r="C266" s="12"/>
      <c r="D266" s="12"/>
      <c r="E266" s="12"/>
      <c r="F266" s="12"/>
      <c r="G266" s="12"/>
      <c r="H266" s="12"/>
      <c r="I266" s="12"/>
      <c r="J266" s="12"/>
      <c r="K266" s="12"/>
      <c r="L266" s="12"/>
      <c r="M266" s="12"/>
      <c r="P266" s="12"/>
      <c r="Q266" s="12"/>
      <c r="R266" s="12"/>
      <c r="S266" s="12"/>
      <c r="T266" s="12"/>
      <c r="U266" s="12"/>
      <c r="V266" s="12"/>
      <c r="W266" s="12"/>
      <c r="X266" s="12"/>
      <c r="Y266" s="12"/>
      <c r="Z266" s="12"/>
      <c r="AC266" s="12"/>
      <c r="AD266" s="12"/>
      <c r="AE266" s="12"/>
      <c r="AF266" s="12"/>
      <c r="AG266" s="12"/>
      <c r="AH266" s="12"/>
      <c r="AI266" s="12"/>
      <c r="AJ266" s="12"/>
      <c r="AK266" s="12"/>
      <c r="AL266" s="12"/>
      <c r="AM266" s="12"/>
    </row>
    <row r="267" spans="3:39" ht="12.75">
      <c r="C267" s="12"/>
      <c r="D267" s="12"/>
      <c r="E267" s="12"/>
      <c r="F267" s="12"/>
      <c r="G267" s="12"/>
      <c r="H267" s="12"/>
      <c r="I267" s="12"/>
      <c r="J267" s="12"/>
      <c r="K267" s="12"/>
      <c r="L267" s="12"/>
      <c r="M267" s="12"/>
      <c r="P267" s="12"/>
      <c r="Q267" s="12"/>
      <c r="R267" s="12"/>
      <c r="S267" s="12"/>
      <c r="T267" s="12"/>
      <c r="U267" s="12"/>
      <c r="V267" s="12"/>
      <c r="W267" s="12"/>
      <c r="X267" s="12"/>
      <c r="Y267" s="12"/>
      <c r="Z267" s="12"/>
      <c r="AC267" s="12"/>
      <c r="AD267" s="12"/>
      <c r="AE267" s="12"/>
      <c r="AF267" s="12"/>
      <c r="AG267" s="12"/>
      <c r="AH267" s="12"/>
      <c r="AI267" s="12"/>
      <c r="AJ267" s="12"/>
      <c r="AK267" s="12"/>
      <c r="AL267" s="12"/>
      <c r="AM267" s="12"/>
    </row>
    <row r="268" spans="3:39" ht="12.75">
      <c r="C268" s="12"/>
      <c r="D268" s="12"/>
      <c r="E268" s="12"/>
      <c r="F268" s="12"/>
      <c r="G268" s="12"/>
      <c r="H268" s="12"/>
      <c r="I268" s="12"/>
      <c r="J268" s="12"/>
      <c r="K268" s="12"/>
      <c r="L268" s="12"/>
      <c r="M268" s="12"/>
      <c r="P268" s="12"/>
      <c r="Q268" s="12"/>
      <c r="R268" s="12"/>
      <c r="S268" s="12"/>
      <c r="T268" s="12"/>
      <c r="U268" s="12"/>
      <c r="V268" s="12"/>
      <c r="W268" s="12"/>
      <c r="X268" s="12"/>
      <c r="Y268" s="12"/>
      <c r="Z268" s="12"/>
      <c r="AC268" s="12"/>
      <c r="AD268" s="12"/>
      <c r="AE268" s="12"/>
      <c r="AF268" s="12"/>
      <c r="AG268" s="12"/>
      <c r="AH268" s="12"/>
      <c r="AI268" s="12"/>
      <c r="AJ268" s="12"/>
      <c r="AK268" s="12"/>
      <c r="AL268" s="12"/>
      <c r="AM268" s="12"/>
    </row>
    <row r="269" spans="3:39" ht="12.75">
      <c r="C269" s="12"/>
      <c r="D269" s="12"/>
      <c r="E269" s="12"/>
      <c r="F269" s="12"/>
      <c r="G269" s="12"/>
      <c r="H269" s="12"/>
      <c r="I269" s="12"/>
      <c r="J269" s="12"/>
      <c r="K269" s="12"/>
      <c r="L269" s="12"/>
      <c r="M269" s="12"/>
      <c r="P269" s="12"/>
      <c r="Q269" s="12"/>
      <c r="R269" s="12"/>
      <c r="S269" s="12"/>
      <c r="T269" s="12"/>
      <c r="U269" s="12"/>
      <c r="V269" s="12"/>
      <c r="W269" s="12"/>
      <c r="X269" s="12"/>
      <c r="Y269" s="12"/>
      <c r="Z269" s="12"/>
      <c r="AC269" s="12"/>
      <c r="AD269" s="12"/>
      <c r="AE269" s="12"/>
      <c r="AF269" s="12"/>
      <c r="AG269" s="12"/>
      <c r="AH269" s="12"/>
      <c r="AI269" s="12"/>
      <c r="AJ269" s="12"/>
      <c r="AK269" s="12"/>
      <c r="AL269" s="12"/>
      <c r="AM269" s="12"/>
    </row>
    <row r="270" spans="3:39" ht="12.75">
      <c r="C270" s="12"/>
      <c r="D270" s="12"/>
      <c r="E270" s="12"/>
      <c r="F270" s="12"/>
      <c r="G270" s="12"/>
      <c r="H270" s="12"/>
      <c r="I270" s="12"/>
      <c r="J270" s="12"/>
      <c r="K270" s="12"/>
      <c r="L270" s="12"/>
      <c r="M270" s="12"/>
      <c r="P270" s="12"/>
      <c r="Q270" s="12"/>
      <c r="R270" s="12"/>
      <c r="S270" s="12"/>
      <c r="T270" s="12"/>
      <c r="U270" s="12"/>
      <c r="V270" s="12"/>
      <c r="W270" s="12"/>
      <c r="X270" s="12"/>
      <c r="Y270" s="12"/>
      <c r="Z270" s="12"/>
      <c r="AC270" s="12"/>
      <c r="AD270" s="12"/>
      <c r="AE270" s="12"/>
      <c r="AF270" s="12"/>
      <c r="AG270" s="12"/>
      <c r="AH270" s="12"/>
      <c r="AI270" s="12"/>
      <c r="AJ270" s="12"/>
      <c r="AK270" s="12"/>
      <c r="AL270" s="12"/>
      <c r="AM270" s="12"/>
    </row>
    <row r="271" spans="3:39" ht="12.75">
      <c r="C271" s="12"/>
      <c r="D271" s="12"/>
      <c r="E271" s="12"/>
      <c r="F271" s="12"/>
      <c r="G271" s="12"/>
      <c r="H271" s="12"/>
      <c r="I271" s="12"/>
      <c r="J271" s="12"/>
      <c r="K271" s="12"/>
      <c r="L271" s="12"/>
      <c r="M271" s="12"/>
      <c r="P271" s="12"/>
      <c r="Q271" s="12"/>
      <c r="R271" s="12"/>
      <c r="S271" s="12"/>
      <c r="T271" s="12"/>
      <c r="U271" s="12"/>
      <c r="V271" s="12"/>
      <c r="W271" s="12"/>
      <c r="X271" s="12"/>
      <c r="Y271" s="12"/>
      <c r="Z271" s="12"/>
      <c r="AC271" s="12"/>
      <c r="AD271" s="12"/>
      <c r="AE271" s="12"/>
      <c r="AF271" s="12"/>
      <c r="AG271" s="12"/>
      <c r="AH271" s="12"/>
      <c r="AI271" s="12"/>
      <c r="AJ271" s="12"/>
      <c r="AK271" s="12"/>
      <c r="AL271" s="12"/>
      <c r="AM271" s="12"/>
    </row>
    <row r="272" spans="3:39" ht="12.75">
      <c r="C272" s="12"/>
      <c r="D272" s="12"/>
      <c r="E272" s="12"/>
      <c r="F272" s="12"/>
      <c r="G272" s="12"/>
      <c r="H272" s="12"/>
      <c r="I272" s="12"/>
      <c r="J272" s="12"/>
      <c r="K272" s="12"/>
      <c r="L272" s="12"/>
      <c r="M272" s="12"/>
      <c r="P272" s="12"/>
      <c r="Q272" s="12"/>
      <c r="R272" s="12"/>
      <c r="S272" s="12"/>
      <c r="T272" s="12"/>
      <c r="U272" s="12"/>
      <c r="V272" s="12"/>
      <c r="W272" s="12"/>
      <c r="X272" s="12"/>
      <c r="Y272" s="12"/>
      <c r="Z272" s="12"/>
      <c r="AC272" s="12"/>
      <c r="AD272" s="12"/>
      <c r="AE272" s="12"/>
      <c r="AF272" s="12"/>
      <c r="AG272" s="12"/>
      <c r="AH272" s="12"/>
      <c r="AI272" s="12"/>
      <c r="AJ272" s="12"/>
      <c r="AK272" s="12"/>
      <c r="AL272" s="12"/>
      <c r="AM272" s="12"/>
    </row>
    <row r="273" spans="3:39" ht="12.75">
      <c r="C273" s="12"/>
      <c r="D273" s="12"/>
      <c r="E273" s="12"/>
      <c r="F273" s="12"/>
      <c r="G273" s="12"/>
      <c r="H273" s="12"/>
      <c r="I273" s="12"/>
      <c r="J273" s="12"/>
      <c r="K273" s="12"/>
      <c r="L273" s="12"/>
      <c r="M273" s="12"/>
      <c r="P273" s="12"/>
      <c r="Q273" s="12"/>
      <c r="R273" s="12"/>
      <c r="S273" s="12"/>
      <c r="T273" s="12"/>
      <c r="U273" s="12"/>
      <c r="V273" s="12"/>
      <c r="W273" s="12"/>
      <c r="X273" s="12"/>
      <c r="Y273" s="12"/>
      <c r="Z273" s="12"/>
      <c r="AC273" s="12"/>
      <c r="AD273" s="12"/>
      <c r="AE273" s="12"/>
      <c r="AF273" s="12"/>
      <c r="AG273" s="12"/>
      <c r="AH273" s="12"/>
      <c r="AI273" s="12"/>
      <c r="AJ273" s="12"/>
      <c r="AK273" s="12"/>
      <c r="AL273" s="12"/>
      <c r="AM273" s="12"/>
    </row>
    <row r="274" spans="3:39" ht="12.75">
      <c r="C274" s="12"/>
      <c r="D274" s="12"/>
      <c r="E274" s="12"/>
      <c r="F274" s="12"/>
      <c r="G274" s="12"/>
      <c r="H274" s="12"/>
      <c r="I274" s="12"/>
      <c r="J274" s="12"/>
      <c r="K274" s="12"/>
      <c r="L274" s="12"/>
      <c r="M274" s="12"/>
      <c r="P274" s="12"/>
      <c r="Q274" s="12"/>
      <c r="R274" s="12"/>
      <c r="S274" s="12"/>
      <c r="T274" s="12"/>
      <c r="U274" s="12"/>
      <c r="V274" s="12"/>
      <c r="W274" s="12"/>
      <c r="X274" s="12"/>
      <c r="Y274" s="12"/>
      <c r="Z274" s="12"/>
      <c r="AC274" s="12"/>
      <c r="AD274" s="12"/>
      <c r="AE274" s="12"/>
      <c r="AF274" s="12"/>
      <c r="AG274" s="12"/>
      <c r="AH274" s="12"/>
      <c r="AI274" s="12"/>
      <c r="AJ274" s="12"/>
      <c r="AK274" s="12"/>
      <c r="AL274" s="12"/>
      <c r="AM274" s="12"/>
    </row>
    <row r="275" spans="3:39" ht="12.75">
      <c r="C275" s="12"/>
      <c r="D275" s="12"/>
      <c r="E275" s="12"/>
      <c r="F275" s="12"/>
      <c r="G275" s="12"/>
      <c r="H275" s="12"/>
      <c r="I275" s="12"/>
      <c r="J275" s="12"/>
      <c r="K275" s="12"/>
      <c r="L275" s="12"/>
      <c r="M275" s="12"/>
      <c r="P275" s="12"/>
      <c r="Q275" s="12"/>
      <c r="R275" s="12"/>
      <c r="S275" s="12"/>
      <c r="T275" s="12"/>
      <c r="U275" s="12"/>
      <c r="V275" s="12"/>
      <c r="W275" s="12"/>
      <c r="X275" s="12"/>
      <c r="Y275" s="12"/>
      <c r="Z275" s="12"/>
      <c r="AC275" s="12"/>
      <c r="AD275" s="12"/>
      <c r="AE275" s="12"/>
      <c r="AF275" s="12"/>
      <c r="AG275" s="12"/>
      <c r="AH275" s="12"/>
      <c r="AI275" s="12"/>
      <c r="AJ275" s="12"/>
      <c r="AK275" s="12"/>
      <c r="AL275" s="12"/>
      <c r="AM275" s="12"/>
    </row>
    <row r="276" spans="3:39" ht="12.75">
      <c r="C276" s="12"/>
      <c r="D276" s="12"/>
      <c r="E276" s="12"/>
      <c r="F276" s="12"/>
      <c r="G276" s="12"/>
      <c r="H276" s="12"/>
      <c r="I276" s="12"/>
      <c r="J276" s="12"/>
      <c r="K276" s="12"/>
      <c r="L276" s="12"/>
      <c r="M276" s="12"/>
      <c r="P276" s="12"/>
      <c r="Q276" s="12"/>
      <c r="R276" s="12"/>
      <c r="S276" s="12"/>
      <c r="T276" s="12"/>
      <c r="U276" s="12"/>
      <c r="V276" s="12"/>
      <c r="W276" s="12"/>
      <c r="X276" s="12"/>
      <c r="Y276" s="12"/>
      <c r="Z276" s="12"/>
      <c r="AC276" s="12"/>
      <c r="AD276" s="12"/>
      <c r="AE276" s="12"/>
      <c r="AF276" s="12"/>
      <c r="AG276" s="12"/>
      <c r="AH276" s="12"/>
      <c r="AI276" s="12"/>
      <c r="AJ276" s="12"/>
      <c r="AK276" s="12"/>
      <c r="AL276" s="12"/>
      <c r="AM276" s="12"/>
    </row>
    <row r="277" spans="3:39" ht="12.75">
      <c r="C277" s="12"/>
      <c r="D277" s="12"/>
      <c r="E277" s="12"/>
      <c r="F277" s="12"/>
      <c r="G277" s="12"/>
      <c r="H277" s="12"/>
      <c r="I277" s="12"/>
      <c r="J277" s="12"/>
      <c r="K277" s="12"/>
      <c r="L277" s="12"/>
      <c r="M277" s="12"/>
      <c r="P277" s="12"/>
      <c r="Q277" s="12"/>
      <c r="R277" s="12"/>
      <c r="S277" s="12"/>
      <c r="T277" s="12"/>
      <c r="U277" s="12"/>
      <c r="V277" s="12"/>
      <c r="W277" s="12"/>
      <c r="X277" s="12"/>
      <c r="Y277" s="12"/>
      <c r="Z277" s="12"/>
      <c r="AC277" s="12"/>
      <c r="AD277" s="12"/>
      <c r="AE277" s="12"/>
      <c r="AF277" s="12"/>
      <c r="AG277" s="12"/>
      <c r="AH277" s="12"/>
      <c r="AI277" s="12"/>
      <c r="AJ277" s="12"/>
      <c r="AK277" s="12"/>
      <c r="AL277" s="12"/>
      <c r="AM277" s="12"/>
    </row>
    <row r="278" spans="3:39" ht="12.75">
      <c r="C278" s="12"/>
      <c r="D278" s="12"/>
      <c r="E278" s="12"/>
      <c r="F278" s="12"/>
      <c r="G278" s="12"/>
      <c r="H278" s="12"/>
      <c r="I278" s="12"/>
      <c r="J278" s="12"/>
      <c r="K278" s="12"/>
      <c r="L278" s="12"/>
      <c r="M278" s="12"/>
      <c r="P278" s="12"/>
      <c r="Q278" s="12"/>
      <c r="R278" s="12"/>
      <c r="S278" s="12"/>
      <c r="T278" s="12"/>
      <c r="U278" s="12"/>
      <c r="V278" s="12"/>
      <c r="W278" s="12"/>
      <c r="X278" s="12"/>
      <c r="Y278" s="12"/>
      <c r="Z278" s="12"/>
      <c r="AC278" s="12"/>
      <c r="AD278" s="12"/>
      <c r="AE278" s="12"/>
      <c r="AF278" s="12"/>
      <c r="AG278" s="12"/>
      <c r="AH278" s="12"/>
      <c r="AI278" s="12"/>
      <c r="AJ278" s="12"/>
      <c r="AK278" s="12"/>
      <c r="AL278" s="12"/>
      <c r="AM278" s="12"/>
    </row>
    <row r="279" spans="3:39" ht="12.75">
      <c r="C279" s="12"/>
      <c r="D279" s="12"/>
      <c r="E279" s="12"/>
      <c r="F279" s="12"/>
      <c r="G279" s="12"/>
      <c r="H279" s="12"/>
      <c r="I279" s="12"/>
      <c r="J279" s="12"/>
      <c r="K279" s="12"/>
      <c r="L279" s="12"/>
      <c r="M279" s="12"/>
      <c r="P279" s="12"/>
      <c r="Q279" s="12"/>
      <c r="R279" s="12"/>
      <c r="S279" s="12"/>
      <c r="T279" s="12"/>
      <c r="U279" s="12"/>
      <c r="V279" s="12"/>
      <c r="W279" s="12"/>
      <c r="X279" s="12"/>
      <c r="Y279" s="12"/>
      <c r="Z279" s="12"/>
      <c r="AC279" s="12"/>
      <c r="AD279" s="12"/>
      <c r="AE279" s="12"/>
      <c r="AF279" s="12"/>
      <c r="AG279" s="12"/>
      <c r="AH279" s="12"/>
      <c r="AI279" s="12"/>
      <c r="AJ279" s="12"/>
      <c r="AK279" s="12"/>
      <c r="AL279" s="12"/>
      <c r="AM279" s="12"/>
    </row>
    <row r="280" spans="3:39" ht="12.75">
      <c r="C280" s="12"/>
      <c r="D280" s="12"/>
      <c r="E280" s="12"/>
      <c r="F280" s="12"/>
      <c r="G280" s="12"/>
      <c r="H280" s="12"/>
      <c r="I280" s="12"/>
      <c r="J280" s="12"/>
      <c r="K280" s="12"/>
      <c r="L280" s="12"/>
      <c r="M280" s="12"/>
      <c r="P280" s="12"/>
      <c r="Q280" s="12"/>
      <c r="R280" s="12"/>
      <c r="S280" s="12"/>
      <c r="T280" s="12"/>
      <c r="U280" s="12"/>
      <c r="V280" s="12"/>
      <c r="W280" s="12"/>
      <c r="X280" s="12"/>
      <c r="Y280" s="12"/>
      <c r="Z280" s="12"/>
      <c r="AC280" s="12"/>
      <c r="AD280" s="12"/>
      <c r="AE280" s="12"/>
      <c r="AF280" s="12"/>
      <c r="AG280" s="12"/>
      <c r="AH280" s="12"/>
      <c r="AI280" s="12"/>
      <c r="AJ280" s="12"/>
      <c r="AK280" s="12"/>
      <c r="AL280" s="12"/>
      <c r="AM280" s="12"/>
    </row>
    <row r="281" spans="3:39" ht="12.75">
      <c r="C281" s="12"/>
      <c r="D281" s="12"/>
      <c r="E281" s="12"/>
      <c r="F281" s="12"/>
      <c r="G281" s="12"/>
      <c r="H281" s="12"/>
      <c r="I281" s="12"/>
      <c r="J281" s="12"/>
      <c r="K281" s="12"/>
      <c r="L281" s="12"/>
      <c r="M281" s="12"/>
      <c r="P281" s="12"/>
      <c r="Q281" s="12"/>
      <c r="R281" s="12"/>
      <c r="S281" s="12"/>
      <c r="T281" s="12"/>
      <c r="U281" s="12"/>
      <c r="V281" s="12"/>
      <c r="W281" s="12"/>
      <c r="X281" s="12"/>
      <c r="Y281" s="12"/>
      <c r="Z281" s="12"/>
      <c r="AC281" s="12"/>
      <c r="AD281" s="12"/>
      <c r="AE281" s="12"/>
      <c r="AF281" s="12"/>
      <c r="AG281" s="12"/>
      <c r="AH281" s="12"/>
      <c r="AI281" s="12"/>
      <c r="AJ281" s="12"/>
      <c r="AK281" s="12"/>
      <c r="AL281" s="12"/>
      <c r="AM281" s="12"/>
    </row>
    <row r="282" spans="3:39" ht="12.75">
      <c r="C282" s="12"/>
      <c r="D282" s="12"/>
      <c r="E282" s="12"/>
      <c r="F282" s="12"/>
      <c r="G282" s="12"/>
      <c r="H282" s="12"/>
      <c r="I282" s="12"/>
      <c r="J282" s="12"/>
      <c r="K282" s="12"/>
      <c r="L282" s="12"/>
      <c r="M282" s="12"/>
      <c r="P282" s="12"/>
      <c r="Q282" s="12"/>
      <c r="R282" s="12"/>
      <c r="S282" s="12"/>
      <c r="T282" s="12"/>
      <c r="U282" s="12"/>
      <c r="V282" s="12"/>
      <c r="W282" s="12"/>
      <c r="X282" s="12"/>
      <c r="Y282" s="12"/>
      <c r="Z282" s="12"/>
      <c r="AC282" s="12"/>
      <c r="AD282" s="12"/>
      <c r="AE282" s="12"/>
      <c r="AF282" s="12"/>
      <c r="AG282" s="12"/>
      <c r="AH282" s="12"/>
      <c r="AI282" s="12"/>
      <c r="AJ282" s="12"/>
      <c r="AK282" s="12"/>
      <c r="AL282" s="12"/>
      <c r="AM282" s="12"/>
    </row>
    <row r="283" spans="3:39" ht="12.75">
      <c r="C283" s="12"/>
      <c r="D283" s="12"/>
      <c r="E283" s="12"/>
      <c r="F283" s="12"/>
      <c r="G283" s="12"/>
      <c r="H283" s="12"/>
      <c r="I283" s="12"/>
      <c r="J283" s="12"/>
      <c r="K283" s="12"/>
      <c r="L283" s="12"/>
      <c r="M283" s="12"/>
      <c r="P283" s="12"/>
      <c r="Q283" s="12"/>
      <c r="R283" s="12"/>
      <c r="S283" s="12"/>
      <c r="T283" s="12"/>
      <c r="U283" s="12"/>
      <c r="V283" s="12"/>
      <c r="W283" s="12"/>
      <c r="X283" s="12"/>
      <c r="Y283" s="12"/>
      <c r="Z283" s="12"/>
      <c r="AC283" s="12"/>
      <c r="AD283" s="12"/>
      <c r="AE283" s="12"/>
      <c r="AF283" s="12"/>
      <c r="AG283" s="12"/>
      <c r="AH283" s="12"/>
      <c r="AI283" s="12"/>
      <c r="AJ283" s="12"/>
      <c r="AK283" s="12"/>
      <c r="AL283" s="12"/>
      <c r="AM283" s="12"/>
    </row>
    <row r="284" spans="3:39" ht="12.75">
      <c r="C284" s="12"/>
      <c r="D284" s="12"/>
      <c r="E284" s="12"/>
      <c r="F284" s="12"/>
      <c r="G284" s="12"/>
      <c r="H284" s="12"/>
      <c r="I284" s="12"/>
      <c r="J284" s="12"/>
      <c r="K284" s="12"/>
      <c r="L284" s="12"/>
      <c r="M284" s="12"/>
      <c r="P284" s="12"/>
      <c r="Q284" s="12"/>
      <c r="R284" s="12"/>
      <c r="S284" s="12"/>
      <c r="T284" s="12"/>
      <c r="U284" s="12"/>
      <c r="V284" s="12"/>
      <c r="W284" s="12"/>
      <c r="X284" s="12"/>
      <c r="Y284" s="12"/>
      <c r="Z284" s="12"/>
      <c r="AC284" s="12"/>
      <c r="AD284" s="12"/>
      <c r="AE284" s="12"/>
      <c r="AF284" s="12"/>
      <c r="AG284" s="12"/>
      <c r="AH284" s="12"/>
      <c r="AI284" s="12"/>
      <c r="AJ284" s="12"/>
      <c r="AK284" s="12"/>
      <c r="AL284" s="12"/>
      <c r="AM284" s="12"/>
    </row>
    <row r="285" spans="3:39" ht="12.75">
      <c r="C285" s="12"/>
      <c r="D285" s="12"/>
      <c r="E285" s="12"/>
      <c r="F285" s="12"/>
      <c r="G285" s="12"/>
      <c r="H285" s="12"/>
      <c r="I285" s="12"/>
      <c r="J285" s="12"/>
      <c r="K285" s="12"/>
      <c r="L285" s="12"/>
      <c r="M285" s="12"/>
      <c r="P285" s="12"/>
      <c r="Q285" s="12"/>
      <c r="R285" s="12"/>
      <c r="S285" s="12"/>
      <c r="T285" s="12"/>
      <c r="U285" s="12"/>
      <c r="V285" s="12"/>
      <c r="W285" s="12"/>
      <c r="X285" s="12"/>
      <c r="Y285" s="12"/>
      <c r="Z285" s="12"/>
      <c r="AC285" s="12"/>
      <c r="AD285" s="12"/>
      <c r="AE285" s="12"/>
      <c r="AF285" s="12"/>
      <c r="AG285" s="12"/>
      <c r="AH285" s="12"/>
      <c r="AI285" s="12"/>
      <c r="AJ285" s="12"/>
      <c r="AK285" s="12"/>
      <c r="AL285" s="12"/>
      <c r="AM285" s="12"/>
    </row>
    <row r="286" spans="3:39" ht="12.75">
      <c r="C286" s="12"/>
      <c r="D286" s="12"/>
      <c r="E286" s="12"/>
      <c r="F286" s="12"/>
      <c r="G286" s="12"/>
      <c r="H286" s="12"/>
      <c r="I286" s="12"/>
      <c r="J286" s="12"/>
      <c r="K286" s="12"/>
      <c r="L286" s="12"/>
      <c r="M286" s="12"/>
      <c r="P286" s="12"/>
      <c r="Q286" s="12"/>
      <c r="R286" s="12"/>
      <c r="S286" s="12"/>
      <c r="T286" s="12"/>
      <c r="U286" s="12"/>
      <c r="V286" s="12"/>
      <c r="W286" s="12"/>
      <c r="X286" s="12"/>
      <c r="Y286" s="12"/>
      <c r="Z286" s="12"/>
      <c r="AC286" s="12"/>
      <c r="AD286" s="12"/>
      <c r="AE286" s="12"/>
      <c r="AF286" s="12"/>
      <c r="AG286" s="12"/>
      <c r="AH286" s="12"/>
      <c r="AI286" s="12"/>
      <c r="AJ286" s="12"/>
      <c r="AK286" s="12"/>
      <c r="AL286" s="12"/>
      <c r="AM286" s="12"/>
    </row>
    <row r="287" spans="3:39" ht="12.75">
      <c r="C287" s="12"/>
      <c r="D287" s="12"/>
      <c r="E287" s="12"/>
      <c r="F287" s="12"/>
      <c r="G287" s="12"/>
      <c r="H287" s="12"/>
      <c r="I287" s="12"/>
      <c r="J287" s="12"/>
      <c r="K287" s="12"/>
      <c r="L287" s="12"/>
      <c r="M287" s="12"/>
      <c r="P287" s="12"/>
      <c r="Q287" s="12"/>
      <c r="R287" s="12"/>
      <c r="S287" s="12"/>
      <c r="T287" s="12"/>
      <c r="U287" s="12"/>
      <c r="V287" s="12"/>
      <c r="W287" s="12"/>
      <c r="X287" s="12"/>
      <c r="Y287" s="12"/>
      <c r="Z287" s="12"/>
      <c r="AC287" s="12"/>
      <c r="AD287" s="12"/>
      <c r="AE287" s="12"/>
      <c r="AF287" s="12"/>
      <c r="AG287" s="12"/>
      <c r="AH287" s="12"/>
      <c r="AI287" s="12"/>
      <c r="AJ287" s="12"/>
      <c r="AK287" s="12"/>
      <c r="AL287" s="12"/>
      <c r="AM287" s="12"/>
    </row>
    <row r="288" spans="3:39" ht="12.75">
      <c r="C288" s="12"/>
      <c r="D288" s="12"/>
      <c r="E288" s="12"/>
      <c r="F288" s="12"/>
      <c r="G288" s="12"/>
      <c r="H288" s="12"/>
      <c r="I288" s="12"/>
      <c r="J288" s="12"/>
      <c r="K288" s="12"/>
      <c r="L288" s="12"/>
      <c r="M288" s="12"/>
      <c r="P288" s="12"/>
      <c r="Q288" s="12"/>
      <c r="R288" s="12"/>
      <c r="S288" s="12"/>
      <c r="T288" s="12"/>
      <c r="U288" s="12"/>
      <c r="V288" s="12"/>
      <c r="W288" s="12"/>
      <c r="X288" s="12"/>
      <c r="Y288" s="12"/>
      <c r="Z288" s="12"/>
      <c r="AC288" s="12"/>
      <c r="AD288" s="12"/>
      <c r="AE288" s="12"/>
      <c r="AF288" s="12"/>
      <c r="AG288" s="12"/>
      <c r="AH288" s="12"/>
      <c r="AI288" s="12"/>
      <c r="AJ288" s="12"/>
      <c r="AK288" s="12"/>
      <c r="AL288" s="12"/>
      <c r="AM288" s="12"/>
    </row>
    <row r="289" spans="3:39" ht="12.75">
      <c r="C289" s="12"/>
      <c r="D289" s="12"/>
      <c r="E289" s="12"/>
      <c r="F289" s="12"/>
      <c r="G289" s="12"/>
      <c r="H289" s="12"/>
      <c r="I289" s="12"/>
      <c r="J289" s="12"/>
      <c r="K289" s="12"/>
      <c r="L289" s="12"/>
      <c r="M289" s="12"/>
      <c r="P289" s="12"/>
      <c r="Q289" s="12"/>
      <c r="R289" s="12"/>
      <c r="S289" s="12"/>
      <c r="T289" s="12"/>
      <c r="U289" s="12"/>
      <c r="V289" s="12"/>
      <c r="W289" s="12"/>
      <c r="X289" s="12"/>
      <c r="Y289" s="12"/>
      <c r="Z289" s="12"/>
      <c r="AC289" s="12"/>
      <c r="AD289" s="12"/>
      <c r="AE289" s="12"/>
      <c r="AF289" s="12"/>
      <c r="AG289" s="12"/>
      <c r="AH289" s="12"/>
      <c r="AI289" s="12"/>
      <c r="AJ289" s="12"/>
      <c r="AK289" s="12"/>
      <c r="AL289" s="12"/>
      <c r="AM289" s="12"/>
    </row>
    <row r="290" spans="3:39" ht="12.75">
      <c r="C290" s="12"/>
      <c r="D290" s="12"/>
      <c r="E290" s="12"/>
      <c r="F290" s="12"/>
      <c r="G290" s="12"/>
      <c r="H290" s="12"/>
      <c r="I290" s="12"/>
      <c r="J290" s="12"/>
      <c r="K290" s="12"/>
      <c r="L290" s="12"/>
      <c r="M290" s="12"/>
      <c r="P290" s="12"/>
      <c r="Q290" s="12"/>
      <c r="R290" s="12"/>
      <c r="S290" s="12"/>
      <c r="T290" s="12"/>
      <c r="U290" s="12"/>
      <c r="V290" s="12"/>
      <c r="W290" s="12"/>
      <c r="X290" s="12"/>
      <c r="Y290" s="12"/>
      <c r="Z290" s="12"/>
      <c r="AC290" s="12"/>
      <c r="AD290" s="12"/>
      <c r="AE290" s="12"/>
      <c r="AF290" s="12"/>
      <c r="AG290" s="12"/>
      <c r="AH290" s="12"/>
      <c r="AI290" s="12"/>
      <c r="AJ290" s="12"/>
      <c r="AK290" s="12"/>
      <c r="AL290" s="12"/>
      <c r="AM290" s="12"/>
    </row>
    <row r="291" spans="3:39" ht="12.75">
      <c r="C291" s="12"/>
      <c r="D291" s="12"/>
      <c r="E291" s="12"/>
      <c r="F291" s="12"/>
      <c r="G291" s="12"/>
      <c r="H291" s="12"/>
      <c r="I291" s="12"/>
      <c r="J291" s="12"/>
      <c r="K291" s="12"/>
      <c r="L291" s="12"/>
      <c r="M291" s="12"/>
      <c r="P291" s="12"/>
      <c r="Q291" s="12"/>
      <c r="R291" s="12"/>
      <c r="S291" s="12"/>
      <c r="T291" s="12"/>
      <c r="U291" s="12"/>
      <c r="V291" s="12"/>
      <c r="W291" s="12"/>
      <c r="X291" s="12"/>
      <c r="Y291" s="12"/>
      <c r="Z291" s="12"/>
      <c r="AC291" s="12"/>
      <c r="AD291" s="12"/>
      <c r="AE291" s="12"/>
      <c r="AF291" s="12"/>
      <c r="AG291" s="12"/>
      <c r="AH291" s="12"/>
      <c r="AI291" s="12"/>
      <c r="AJ291" s="12"/>
      <c r="AK291" s="12"/>
      <c r="AL291" s="12"/>
      <c r="AM291" s="12"/>
    </row>
    <row r="292" spans="3:39" ht="12.75">
      <c r="C292" s="12"/>
      <c r="D292" s="12"/>
      <c r="E292" s="12"/>
      <c r="F292" s="12"/>
      <c r="G292" s="12"/>
      <c r="H292" s="12"/>
      <c r="I292" s="12"/>
      <c r="J292" s="12"/>
      <c r="K292" s="12"/>
      <c r="L292" s="12"/>
      <c r="M292" s="12"/>
      <c r="P292" s="12"/>
      <c r="Q292" s="12"/>
      <c r="R292" s="12"/>
      <c r="S292" s="12"/>
      <c r="T292" s="12"/>
      <c r="U292" s="12"/>
      <c r="V292" s="12"/>
      <c r="W292" s="12"/>
      <c r="X292" s="12"/>
      <c r="Y292" s="12"/>
      <c r="Z292" s="12"/>
      <c r="AC292" s="12"/>
      <c r="AD292" s="12"/>
      <c r="AE292" s="12"/>
      <c r="AF292" s="12"/>
      <c r="AG292" s="12"/>
      <c r="AH292" s="12"/>
      <c r="AI292" s="12"/>
      <c r="AJ292" s="12"/>
      <c r="AK292" s="12"/>
      <c r="AL292" s="12"/>
      <c r="AM292" s="12"/>
    </row>
    <row r="293" spans="3:39" ht="12.75">
      <c r="C293" s="12"/>
      <c r="D293" s="12"/>
      <c r="E293" s="12"/>
      <c r="F293" s="12"/>
      <c r="G293" s="12"/>
      <c r="H293" s="12"/>
      <c r="I293" s="12"/>
      <c r="J293" s="12"/>
      <c r="K293" s="12"/>
      <c r="L293" s="12"/>
      <c r="M293" s="12"/>
      <c r="P293" s="12"/>
      <c r="Q293" s="12"/>
      <c r="R293" s="12"/>
      <c r="S293" s="12"/>
      <c r="T293" s="12"/>
      <c r="U293" s="12"/>
      <c r="V293" s="12"/>
      <c r="W293" s="12"/>
      <c r="X293" s="12"/>
      <c r="Y293" s="12"/>
      <c r="Z293" s="12"/>
      <c r="AC293" s="12"/>
      <c r="AD293" s="12"/>
      <c r="AE293" s="12"/>
      <c r="AF293" s="12"/>
      <c r="AG293" s="12"/>
      <c r="AH293" s="12"/>
      <c r="AI293" s="12"/>
      <c r="AJ293" s="12"/>
      <c r="AK293" s="12"/>
      <c r="AL293" s="12"/>
      <c r="AM293" s="12"/>
    </row>
    <row r="294" spans="3:39" ht="12.75">
      <c r="C294" s="12"/>
      <c r="D294" s="12"/>
      <c r="E294" s="12"/>
      <c r="F294" s="12"/>
      <c r="G294" s="12"/>
      <c r="H294" s="12"/>
      <c r="I294" s="12"/>
      <c r="J294" s="12"/>
      <c r="K294" s="12"/>
      <c r="L294" s="12"/>
      <c r="M294" s="12"/>
      <c r="P294" s="12"/>
      <c r="Q294" s="12"/>
      <c r="R294" s="12"/>
      <c r="S294" s="12"/>
      <c r="T294" s="12"/>
      <c r="U294" s="12"/>
      <c r="V294" s="12"/>
      <c r="W294" s="12"/>
      <c r="X294" s="12"/>
      <c r="Y294" s="12"/>
      <c r="Z294" s="12"/>
      <c r="AC294" s="12"/>
      <c r="AD294" s="12"/>
      <c r="AE294" s="12"/>
      <c r="AF294" s="12"/>
      <c r="AG294" s="12"/>
      <c r="AH294" s="12"/>
      <c r="AI294" s="12"/>
      <c r="AJ294" s="12"/>
      <c r="AK294" s="12"/>
      <c r="AL294" s="12"/>
      <c r="AM294" s="12"/>
    </row>
    <row r="295" spans="3:39" ht="12.75">
      <c r="C295" s="12"/>
      <c r="D295" s="12"/>
      <c r="E295" s="12"/>
      <c r="F295" s="12"/>
      <c r="G295" s="12"/>
      <c r="H295" s="12"/>
      <c r="I295" s="12"/>
      <c r="J295" s="12"/>
      <c r="K295" s="12"/>
      <c r="L295" s="12"/>
      <c r="M295" s="12"/>
      <c r="P295" s="12"/>
      <c r="Q295" s="12"/>
      <c r="R295" s="12"/>
      <c r="S295" s="12"/>
      <c r="T295" s="12"/>
      <c r="U295" s="12"/>
      <c r="V295" s="12"/>
      <c r="W295" s="12"/>
      <c r="X295" s="12"/>
      <c r="Y295" s="12"/>
      <c r="Z295" s="12"/>
      <c r="AC295" s="12"/>
      <c r="AD295" s="12"/>
      <c r="AE295" s="12"/>
      <c r="AF295" s="12"/>
      <c r="AG295" s="12"/>
      <c r="AH295" s="12"/>
      <c r="AI295" s="12"/>
      <c r="AJ295" s="12"/>
      <c r="AK295" s="12"/>
      <c r="AL295" s="12"/>
      <c r="AM295" s="12"/>
    </row>
    <row r="296" spans="3:39" ht="12.75">
      <c r="C296" s="12"/>
      <c r="D296" s="12"/>
      <c r="E296" s="12"/>
      <c r="F296" s="12"/>
      <c r="G296" s="12"/>
      <c r="H296" s="12"/>
      <c r="I296" s="12"/>
      <c r="J296" s="12"/>
      <c r="K296" s="12"/>
      <c r="L296" s="12"/>
      <c r="M296" s="12"/>
      <c r="P296" s="12"/>
      <c r="Q296" s="12"/>
      <c r="R296" s="12"/>
      <c r="S296" s="12"/>
      <c r="T296" s="12"/>
      <c r="U296" s="12"/>
      <c r="V296" s="12"/>
      <c r="W296" s="12"/>
      <c r="X296" s="12"/>
      <c r="Y296" s="12"/>
      <c r="Z296" s="12"/>
      <c r="AC296" s="12"/>
      <c r="AD296" s="12"/>
      <c r="AE296" s="12"/>
      <c r="AF296" s="12"/>
      <c r="AG296" s="12"/>
      <c r="AH296" s="12"/>
      <c r="AI296" s="12"/>
      <c r="AJ296" s="12"/>
      <c r="AK296" s="12"/>
      <c r="AL296" s="12"/>
      <c r="AM296" s="12"/>
    </row>
    <row r="297" spans="3:39" ht="12.75">
      <c r="C297" s="12"/>
      <c r="D297" s="12"/>
      <c r="E297" s="12"/>
      <c r="F297" s="12"/>
      <c r="G297" s="12"/>
      <c r="H297" s="12"/>
      <c r="I297" s="12"/>
      <c r="J297" s="12"/>
      <c r="K297" s="12"/>
      <c r="L297" s="12"/>
      <c r="M297" s="12"/>
      <c r="P297" s="12"/>
      <c r="Q297" s="12"/>
      <c r="R297" s="12"/>
      <c r="S297" s="12"/>
      <c r="T297" s="12"/>
      <c r="U297" s="12"/>
      <c r="V297" s="12"/>
      <c r="W297" s="12"/>
      <c r="X297" s="12"/>
      <c r="Y297" s="12"/>
      <c r="Z297" s="12"/>
      <c r="AC297" s="12"/>
      <c r="AD297" s="12"/>
      <c r="AE297" s="12"/>
      <c r="AF297" s="12"/>
      <c r="AG297" s="12"/>
      <c r="AH297" s="12"/>
      <c r="AI297" s="12"/>
      <c r="AJ297" s="12"/>
      <c r="AK297" s="12"/>
      <c r="AL297" s="12"/>
      <c r="AM297" s="12"/>
    </row>
    <row r="298" spans="3:39" ht="12.75">
      <c r="C298" s="12"/>
      <c r="D298" s="12"/>
      <c r="E298" s="12"/>
      <c r="F298" s="12"/>
      <c r="G298" s="12"/>
      <c r="H298" s="12"/>
      <c r="I298" s="12"/>
      <c r="J298" s="12"/>
      <c r="K298" s="12"/>
      <c r="L298" s="12"/>
      <c r="M298" s="12"/>
      <c r="P298" s="12"/>
      <c r="Q298" s="12"/>
      <c r="R298" s="12"/>
      <c r="S298" s="12"/>
      <c r="T298" s="12"/>
      <c r="U298" s="12"/>
      <c r="V298" s="12"/>
      <c r="W298" s="12"/>
      <c r="X298" s="12"/>
      <c r="Y298" s="12"/>
      <c r="Z298" s="12"/>
      <c r="AC298" s="12"/>
      <c r="AD298" s="12"/>
      <c r="AE298" s="12"/>
      <c r="AF298" s="12"/>
      <c r="AG298" s="12"/>
      <c r="AH298" s="12"/>
      <c r="AI298" s="12"/>
      <c r="AJ298" s="12"/>
      <c r="AK298" s="12"/>
      <c r="AL298" s="12"/>
      <c r="AM298" s="12"/>
    </row>
    <row r="299" spans="3:39" ht="12.75">
      <c r="C299" s="12"/>
      <c r="D299" s="12"/>
      <c r="E299" s="12"/>
      <c r="F299" s="12"/>
      <c r="G299" s="12"/>
      <c r="H299" s="12"/>
      <c r="I299" s="12"/>
      <c r="J299" s="12"/>
      <c r="K299" s="12"/>
      <c r="L299" s="12"/>
      <c r="M299" s="12"/>
      <c r="P299" s="12"/>
      <c r="Q299" s="12"/>
      <c r="R299" s="12"/>
      <c r="S299" s="12"/>
      <c r="T299" s="12"/>
      <c r="U299" s="12"/>
      <c r="V299" s="12"/>
      <c r="W299" s="12"/>
      <c r="X299" s="12"/>
      <c r="Y299" s="12"/>
      <c r="Z299" s="12"/>
      <c r="AC299" s="12"/>
      <c r="AD299" s="12"/>
      <c r="AE299" s="12"/>
      <c r="AF299" s="12"/>
      <c r="AG299" s="12"/>
      <c r="AH299" s="12"/>
      <c r="AI299" s="12"/>
      <c r="AJ299" s="12"/>
      <c r="AK299" s="12"/>
      <c r="AL299" s="12"/>
      <c r="AM299" s="12"/>
    </row>
    <row r="300" spans="3:39" ht="12.75">
      <c r="C300" s="12"/>
      <c r="D300" s="12"/>
      <c r="E300" s="12"/>
      <c r="F300" s="12"/>
      <c r="G300" s="12"/>
      <c r="H300" s="12"/>
      <c r="I300" s="12"/>
      <c r="J300" s="12"/>
      <c r="K300" s="12"/>
      <c r="L300" s="12"/>
      <c r="M300" s="12"/>
      <c r="P300" s="12"/>
      <c r="Q300" s="12"/>
      <c r="R300" s="12"/>
      <c r="S300" s="12"/>
      <c r="T300" s="12"/>
      <c r="U300" s="12"/>
      <c r="V300" s="12"/>
      <c r="W300" s="12"/>
      <c r="X300" s="12"/>
      <c r="Y300" s="12"/>
      <c r="Z300" s="12"/>
      <c r="AC300" s="12"/>
      <c r="AD300" s="12"/>
      <c r="AE300" s="12"/>
      <c r="AF300" s="12"/>
      <c r="AG300" s="12"/>
      <c r="AH300" s="12"/>
      <c r="AI300" s="12"/>
      <c r="AJ300" s="12"/>
      <c r="AK300" s="12"/>
      <c r="AL300" s="12"/>
      <c r="AM300" s="12"/>
    </row>
    <row r="301" spans="3:39" ht="12.75">
      <c r="C301" s="12"/>
      <c r="D301" s="12"/>
      <c r="E301" s="12"/>
      <c r="F301" s="12"/>
      <c r="G301" s="12"/>
      <c r="H301" s="12"/>
      <c r="I301" s="12"/>
      <c r="J301" s="12"/>
      <c r="K301" s="12"/>
      <c r="L301" s="12"/>
      <c r="M301" s="12"/>
      <c r="P301" s="12"/>
      <c r="Q301" s="12"/>
      <c r="R301" s="12"/>
      <c r="S301" s="12"/>
      <c r="T301" s="12"/>
      <c r="U301" s="12"/>
      <c r="V301" s="12"/>
      <c r="W301" s="12"/>
      <c r="X301" s="12"/>
      <c r="Y301" s="12"/>
      <c r="Z301" s="12"/>
      <c r="AC301" s="12"/>
      <c r="AD301" s="12"/>
      <c r="AE301" s="12"/>
      <c r="AF301" s="12"/>
      <c r="AG301" s="12"/>
      <c r="AH301" s="12"/>
      <c r="AI301" s="12"/>
      <c r="AJ301" s="12"/>
      <c r="AK301" s="12"/>
      <c r="AL301" s="12"/>
      <c r="AM301" s="12"/>
    </row>
    <row r="302" spans="3:39" ht="12.75">
      <c r="C302" s="12"/>
      <c r="D302" s="12"/>
      <c r="E302" s="12"/>
      <c r="F302" s="12"/>
      <c r="G302" s="12"/>
      <c r="H302" s="12"/>
      <c r="I302" s="12"/>
      <c r="J302" s="12"/>
      <c r="K302" s="12"/>
      <c r="L302" s="12"/>
      <c r="M302" s="12"/>
      <c r="P302" s="12"/>
      <c r="Q302" s="12"/>
      <c r="R302" s="12"/>
      <c r="S302" s="12"/>
      <c r="T302" s="12"/>
      <c r="U302" s="12"/>
      <c r="V302" s="12"/>
      <c r="W302" s="12"/>
      <c r="X302" s="12"/>
      <c r="Y302" s="12"/>
      <c r="Z302" s="12"/>
      <c r="AC302" s="12"/>
      <c r="AD302" s="12"/>
      <c r="AE302" s="12"/>
      <c r="AF302" s="12"/>
      <c r="AG302" s="12"/>
      <c r="AH302" s="12"/>
      <c r="AI302" s="12"/>
      <c r="AJ302" s="12"/>
      <c r="AK302" s="12"/>
      <c r="AL302" s="12"/>
      <c r="AM302" s="12"/>
    </row>
    <row r="303" spans="3:39" ht="12.75">
      <c r="C303" s="12"/>
      <c r="D303" s="12"/>
      <c r="E303" s="12"/>
      <c r="F303" s="12"/>
      <c r="G303" s="12"/>
      <c r="H303" s="12"/>
      <c r="I303" s="12"/>
      <c r="J303" s="12"/>
      <c r="K303" s="12"/>
      <c r="L303" s="12"/>
      <c r="M303" s="12"/>
      <c r="P303" s="12"/>
      <c r="Q303" s="12"/>
      <c r="R303" s="12"/>
      <c r="S303" s="12"/>
      <c r="T303" s="12"/>
      <c r="U303" s="12"/>
      <c r="V303" s="12"/>
      <c r="W303" s="12"/>
      <c r="X303" s="12"/>
      <c r="Y303" s="12"/>
      <c r="Z303" s="12"/>
      <c r="AC303" s="12"/>
      <c r="AD303" s="12"/>
      <c r="AE303" s="12"/>
      <c r="AF303" s="12"/>
      <c r="AG303" s="12"/>
      <c r="AH303" s="12"/>
      <c r="AI303" s="12"/>
      <c r="AJ303" s="12"/>
      <c r="AK303" s="12"/>
      <c r="AL303" s="12"/>
      <c r="AM303" s="12"/>
    </row>
    <row r="304" spans="3:39" ht="12.75">
      <c r="C304" s="12"/>
      <c r="D304" s="12"/>
      <c r="E304" s="12"/>
      <c r="F304" s="12"/>
      <c r="G304" s="12"/>
      <c r="H304" s="12"/>
      <c r="I304" s="12"/>
      <c r="J304" s="12"/>
      <c r="K304" s="12"/>
      <c r="L304" s="12"/>
      <c r="M304" s="12"/>
      <c r="P304" s="12"/>
      <c r="Q304" s="12"/>
      <c r="R304" s="12"/>
      <c r="S304" s="12"/>
      <c r="T304" s="12"/>
      <c r="U304" s="12"/>
      <c r="V304" s="12"/>
      <c r="W304" s="12"/>
      <c r="X304" s="12"/>
      <c r="Y304" s="12"/>
      <c r="Z304" s="12"/>
      <c r="AC304" s="12"/>
      <c r="AD304" s="12"/>
      <c r="AE304" s="12"/>
      <c r="AF304" s="12"/>
      <c r="AG304" s="12"/>
      <c r="AH304" s="12"/>
      <c r="AI304" s="12"/>
      <c r="AJ304" s="12"/>
      <c r="AK304" s="12"/>
      <c r="AL304" s="12"/>
      <c r="AM304" s="12"/>
    </row>
    <row r="305" spans="3:39" ht="12.75">
      <c r="C305" s="12"/>
      <c r="D305" s="12"/>
      <c r="E305" s="12"/>
      <c r="F305" s="12"/>
      <c r="G305" s="12"/>
      <c r="H305" s="12"/>
      <c r="I305" s="12"/>
      <c r="J305" s="12"/>
      <c r="K305" s="12"/>
      <c r="L305" s="12"/>
      <c r="M305" s="12"/>
      <c r="P305" s="12"/>
      <c r="Q305" s="12"/>
      <c r="R305" s="12"/>
      <c r="S305" s="12"/>
      <c r="T305" s="12"/>
      <c r="U305" s="12"/>
      <c r="V305" s="12"/>
      <c r="W305" s="12"/>
      <c r="X305" s="12"/>
      <c r="Y305" s="12"/>
      <c r="Z305" s="12"/>
      <c r="AC305" s="12"/>
      <c r="AD305" s="12"/>
      <c r="AE305" s="12"/>
      <c r="AF305" s="12"/>
      <c r="AG305" s="12"/>
      <c r="AH305" s="12"/>
      <c r="AI305" s="12"/>
      <c r="AJ305" s="12"/>
      <c r="AK305" s="12"/>
      <c r="AL305" s="12"/>
      <c r="AM305" s="12"/>
    </row>
    <row r="306" spans="3:39" ht="12.75">
      <c r="C306" s="12"/>
      <c r="D306" s="12"/>
      <c r="E306" s="12"/>
      <c r="F306" s="12"/>
      <c r="G306" s="12"/>
      <c r="H306" s="12"/>
      <c r="I306" s="12"/>
      <c r="J306" s="12"/>
      <c r="K306" s="12"/>
      <c r="L306" s="12"/>
      <c r="M306" s="12"/>
      <c r="P306" s="12"/>
      <c r="Q306" s="12"/>
      <c r="R306" s="12"/>
      <c r="S306" s="12"/>
      <c r="T306" s="12"/>
      <c r="U306" s="12"/>
      <c r="V306" s="12"/>
      <c r="W306" s="12"/>
      <c r="X306" s="12"/>
      <c r="Y306" s="12"/>
      <c r="Z306" s="12"/>
      <c r="AC306" s="12"/>
      <c r="AD306" s="12"/>
      <c r="AE306" s="12"/>
      <c r="AF306" s="12"/>
      <c r="AG306" s="12"/>
      <c r="AH306" s="12"/>
      <c r="AI306" s="12"/>
      <c r="AJ306" s="12"/>
      <c r="AK306" s="12"/>
      <c r="AL306" s="12"/>
      <c r="AM306" s="12"/>
    </row>
    <row r="307" spans="3:39" ht="12.75">
      <c r="C307" s="12"/>
      <c r="D307" s="12"/>
      <c r="E307" s="12"/>
      <c r="F307" s="12"/>
      <c r="G307" s="12"/>
      <c r="H307" s="12"/>
      <c r="I307" s="12"/>
      <c r="J307" s="12"/>
      <c r="K307" s="12"/>
      <c r="L307" s="12"/>
      <c r="M307" s="12"/>
      <c r="P307" s="12"/>
      <c r="Q307" s="12"/>
      <c r="R307" s="12"/>
      <c r="S307" s="12"/>
      <c r="T307" s="12"/>
      <c r="U307" s="12"/>
      <c r="V307" s="12"/>
      <c r="W307" s="12"/>
      <c r="X307" s="12"/>
      <c r="Y307" s="12"/>
      <c r="Z307" s="12"/>
      <c r="AC307" s="12"/>
      <c r="AD307" s="12"/>
      <c r="AE307" s="12"/>
      <c r="AF307" s="12"/>
      <c r="AG307" s="12"/>
      <c r="AH307" s="12"/>
      <c r="AI307" s="12"/>
      <c r="AJ307" s="12"/>
      <c r="AK307" s="12"/>
      <c r="AL307" s="12"/>
      <c r="AM307" s="12"/>
    </row>
    <row r="308" spans="3:39" ht="12.75">
      <c r="C308" s="12"/>
      <c r="D308" s="12"/>
      <c r="E308" s="12"/>
      <c r="F308" s="12"/>
      <c r="G308" s="12"/>
      <c r="H308" s="12"/>
      <c r="I308" s="12"/>
      <c r="J308" s="12"/>
      <c r="K308" s="12"/>
      <c r="L308" s="12"/>
      <c r="M308" s="12"/>
      <c r="P308" s="12"/>
      <c r="Q308" s="12"/>
      <c r="R308" s="12"/>
      <c r="S308" s="12"/>
      <c r="T308" s="12"/>
      <c r="U308" s="12"/>
      <c r="V308" s="12"/>
      <c r="W308" s="12"/>
      <c r="X308" s="12"/>
      <c r="Y308" s="12"/>
      <c r="Z308" s="12"/>
      <c r="AC308" s="12"/>
      <c r="AD308" s="12"/>
      <c r="AE308" s="12"/>
      <c r="AF308" s="12"/>
      <c r="AG308" s="12"/>
      <c r="AH308" s="12"/>
      <c r="AI308" s="12"/>
      <c r="AJ308" s="12"/>
      <c r="AK308" s="12"/>
      <c r="AL308" s="12"/>
      <c r="AM308" s="12"/>
    </row>
    <row r="309" spans="3:39" ht="12.75">
      <c r="C309" s="12"/>
      <c r="D309" s="12"/>
      <c r="E309" s="12"/>
      <c r="F309" s="12"/>
      <c r="G309" s="12"/>
      <c r="H309" s="12"/>
      <c r="I309" s="12"/>
      <c r="J309" s="12"/>
      <c r="K309" s="12"/>
      <c r="L309" s="12"/>
      <c r="M309" s="12"/>
      <c r="P309" s="12"/>
      <c r="Q309" s="12"/>
      <c r="R309" s="12"/>
      <c r="S309" s="12"/>
      <c r="T309" s="12"/>
      <c r="U309" s="12"/>
      <c r="V309" s="12"/>
      <c r="W309" s="12"/>
      <c r="X309" s="12"/>
      <c r="Y309" s="12"/>
      <c r="Z309" s="12"/>
      <c r="AC309" s="12"/>
      <c r="AD309" s="12"/>
      <c r="AE309" s="12"/>
      <c r="AF309" s="12"/>
      <c r="AG309" s="12"/>
      <c r="AH309" s="12"/>
      <c r="AI309" s="12"/>
      <c r="AJ309" s="12"/>
      <c r="AK309" s="12"/>
      <c r="AL309" s="12"/>
      <c r="AM309" s="12"/>
    </row>
    <row r="310" spans="3:39" ht="12.75">
      <c r="C310" s="12"/>
      <c r="D310" s="12"/>
      <c r="E310" s="12"/>
      <c r="F310" s="12"/>
      <c r="G310" s="12"/>
      <c r="H310" s="12"/>
      <c r="I310" s="12"/>
      <c r="J310" s="12"/>
      <c r="K310" s="12"/>
      <c r="L310" s="12"/>
      <c r="M310" s="12"/>
      <c r="P310" s="12"/>
      <c r="Q310" s="12"/>
      <c r="R310" s="12"/>
      <c r="S310" s="12"/>
      <c r="T310" s="12"/>
      <c r="U310" s="12"/>
      <c r="V310" s="12"/>
      <c r="W310" s="12"/>
      <c r="X310" s="12"/>
      <c r="Y310" s="12"/>
      <c r="Z310" s="12"/>
      <c r="AC310" s="12"/>
      <c r="AD310" s="12"/>
      <c r="AE310" s="12"/>
      <c r="AF310" s="12"/>
      <c r="AG310" s="12"/>
      <c r="AH310" s="12"/>
      <c r="AI310" s="12"/>
      <c r="AJ310" s="12"/>
      <c r="AK310" s="12"/>
      <c r="AL310" s="12"/>
      <c r="AM310" s="12"/>
    </row>
    <row r="311" spans="3:39" ht="12.75">
      <c r="C311" s="12"/>
      <c r="D311" s="12"/>
      <c r="E311" s="12"/>
      <c r="F311" s="12"/>
      <c r="G311" s="12"/>
      <c r="H311" s="12"/>
      <c r="I311" s="12"/>
      <c r="J311" s="12"/>
      <c r="K311" s="12"/>
      <c r="L311" s="12"/>
      <c r="M311" s="12"/>
      <c r="P311" s="12"/>
      <c r="Q311" s="12"/>
      <c r="R311" s="12"/>
      <c r="S311" s="12"/>
      <c r="T311" s="12"/>
      <c r="U311" s="12"/>
      <c r="V311" s="12"/>
      <c r="W311" s="12"/>
      <c r="X311" s="12"/>
      <c r="Y311" s="12"/>
      <c r="Z311" s="12"/>
      <c r="AC311" s="12"/>
      <c r="AD311" s="12"/>
      <c r="AE311" s="12"/>
      <c r="AF311" s="12"/>
      <c r="AG311" s="12"/>
      <c r="AH311" s="12"/>
      <c r="AI311" s="12"/>
      <c r="AJ311" s="12"/>
      <c r="AK311" s="12"/>
      <c r="AL311" s="12"/>
      <c r="AM311" s="12"/>
    </row>
    <row r="312" spans="3:39" ht="12.75">
      <c r="C312" s="12"/>
      <c r="D312" s="12"/>
      <c r="E312" s="12"/>
      <c r="F312" s="12"/>
      <c r="G312" s="12"/>
      <c r="H312" s="12"/>
      <c r="I312" s="12"/>
      <c r="J312" s="12"/>
      <c r="K312" s="12"/>
      <c r="L312" s="12"/>
      <c r="M312" s="12"/>
      <c r="P312" s="12"/>
      <c r="Q312" s="12"/>
      <c r="R312" s="12"/>
      <c r="S312" s="12"/>
      <c r="T312" s="12"/>
      <c r="U312" s="12"/>
      <c r="V312" s="12"/>
      <c r="W312" s="12"/>
      <c r="X312" s="12"/>
      <c r="Y312" s="12"/>
      <c r="Z312" s="12"/>
      <c r="AC312" s="12"/>
      <c r="AD312" s="12"/>
      <c r="AE312" s="12"/>
      <c r="AF312" s="12"/>
      <c r="AG312" s="12"/>
      <c r="AH312" s="12"/>
      <c r="AI312" s="12"/>
      <c r="AJ312" s="12"/>
      <c r="AK312" s="12"/>
      <c r="AL312" s="12"/>
      <c r="AM312" s="12"/>
    </row>
    <row r="313" spans="3:39" ht="12.75">
      <c r="C313" s="12"/>
      <c r="D313" s="12"/>
      <c r="E313" s="12"/>
      <c r="F313" s="12"/>
      <c r="G313" s="12"/>
      <c r="H313" s="12"/>
      <c r="I313" s="12"/>
      <c r="J313" s="12"/>
      <c r="K313" s="12"/>
      <c r="L313" s="12"/>
      <c r="M313" s="12"/>
      <c r="P313" s="12"/>
      <c r="Q313" s="12"/>
      <c r="R313" s="12"/>
      <c r="S313" s="12"/>
      <c r="T313" s="12"/>
      <c r="U313" s="12"/>
      <c r="V313" s="12"/>
      <c r="W313" s="12"/>
      <c r="X313" s="12"/>
      <c r="Y313" s="12"/>
      <c r="Z313" s="12"/>
      <c r="AC313" s="12"/>
      <c r="AD313" s="12"/>
      <c r="AE313" s="12"/>
      <c r="AF313" s="12"/>
      <c r="AG313" s="12"/>
      <c r="AH313" s="12"/>
      <c r="AI313" s="12"/>
      <c r="AJ313" s="12"/>
      <c r="AK313" s="12"/>
      <c r="AL313" s="12"/>
      <c r="AM313" s="12"/>
    </row>
    <row r="314" spans="3:39" ht="12.75">
      <c r="C314" s="12"/>
      <c r="D314" s="12"/>
      <c r="E314" s="12"/>
      <c r="F314" s="12"/>
      <c r="G314" s="12"/>
      <c r="H314" s="12"/>
      <c r="I314" s="12"/>
      <c r="J314" s="12"/>
      <c r="K314" s="12"/>
      <c r="L314" s="12"/>
      <c r="M314" s="12"/>
      <c r="P314" s="12"/>
      <c r="Q314" s="12"/>
      <c r="R314" s="12"/>
      <c r="S314" s="12"/>
      <c r="T314" s="12"/>
      <c r="U314" s="12"/>
      <c r="V314" s="12"/>
      <c r="W314" s="12"/>
      <c r="X314" s="12"/>
      <c r="Y314" s="12"/>
      <c r="Z314" s="12"/>
      <c r="AC314" s="12"/>
      <c r="AD314" s="12"/>
      <c r="AE314" s="12"/>
      <c r="AF314" s="12"/>
      <c r="AG314" s="12"/>
      <c r="AH314" s="12"/>
      <c r="AI314" s="12"/>
      <c r="AJ314" s="12"/>
      <c r="AK314" s="12"/>
      <c r="AL314" s="12"/>
      <c r="AM314" s="12"/>
    </row>
    <row r="315" spans="3:39" ht="12.75">
      <c r="C315" s="12"/>
      <c r="D315" s="12"/>
      <c r="E315" s="12"/>
      <c r="F315" s="12"/>
      <c r="G315" s="12"/>
      <c r="H315" s="12"/>
      <c r="I315" s="12"/>
      <c r="J315" s="12"/>
      <c r="K315" s="12"/>
      <c r="L315" s="12"/>
      <c r="M315" s="12"/>
      <c r="P315" s="12"/>
      <c r="Q315" s="12"/>
      <c r="R315" s="12"/>
      <c r="S315" s="12"/>
      <c r="T315" s="12"/>
      <c r="U315" s="12"/>
      <c r="V315" s="12"/>
      <c r="W315" s="12"/>
      <c r="X315" s="12"/>
      <c r="Y315" s="12"/>
      <c r="Z315" s="12"/>
      <c r="AC315" s="12"/>
      <c r="AD315" s="12"/>
      <c r="AE315" s="12"/>
      <c r="AF315" s="12"/>
      <c r="AG315" s="12"/>
      <c r="AH315" s="12"/>
      <c r="AI315" s="12"/>
      <c r="AJ315" s="12"/>
      <c r="AK315" s="12"/>
      <c r="AL315" s="12"/>
      <c r="AM315" s="12"/>
    </row>
  </sheetData>
  <sheetProtection password="C8AE" sheet="1" objects="1" scenarios="1" selectLockedCells="1" selectUnlockedCells="1"/>
  <mergeCells count="7">
    <mergeCell ref="D23:F24"/>
    <mergeCell ref="X2:Y2"/>
    <mergeCell ref="Q6:X7"/>
    <mergeCell ref="AK2:AL2"/>
    <mergeCell ref="AD6:AK7"/>
    <mergeCell ref="D6:K7"/>
    <mergeCell ref="K2:L2"/>
  </mergeCells>
  <printOptions horizontalCentered="1" verticalCentered="1"/>
  <pageMargins left="0" right="0" top="0" bottom="0" header="0" footer="0"/>
  <pageSetup horizontalDpi="600" verticalDpi="600" orientation="portrait" paperSize="9" scale="110" r:id="rId3"/>
  <drawing r:id="rId2"/>
  <legacyDrawing r:id="rId1"/>
</worksheet>
</file>

<file path=xl/worksheets/sheet3.xml><?xml version="1.0" encoding="utf-8"?>
<worksheet xmlns="http://schemas.openxmlformats.org/spreadsheetml/2006/main" xmlns:r="http://schemas.openxmlformats.org/officeDocument/2006/relationships">
  <sheetPr codeName="Taul1"/>
  <dimension ref="A1:BB99"/>
  <sheetViews>
    <sheetView showGridLines="0" showRowColHeaders="0" zoomScalePageLayoutView="0" workbookViewId="0" topLeftCell="A1">
      <selection activeCell="C4" sqref="C4:G6"/>
    </sheetView>
  </sheetViews>
  <sheetFormatPr defaultColWidth="9.140625" defaultRowHeight="12.75"/>
  <cols>
    <col min="1" max="3" width="3.140625" style="9" customWidth="1"/>
    <col min="4" max="11" width="9.421875" style="9" customWidth="1"/>
    <col min="12" max="16" width="3.140625" style="9" customWidth="1"/>
    <col min="17" max="21" width="9.421875" style="9" customWidth="1"/>
    <col min="22" max="22" width="9.421875" style="10" customWidth="1"/>
    <col min="23" max="24" width="9.421875" style="9" customWidth="1"/>
    <col min="25" max="29" width="3.140625" style="9" customWidth="1"/>
    <col min="30" max="37" width="9.421875" style="9" customWidth="1"/>
    <col min="38" max="40" width="3.140625" style="9" customWidth="1"/>
    <col min="41" max="16384" width="9.140625" style="9" customWidth="1"/>
  </cols>
  <sheetData>
    <row r="1" spans="41:54" ht="12.75">
      <c r="AO1" s="94"/>
      <c r="AP1" s="94"/>
      <c r="AQ1" s="94"/>
      <c r="AR1" s="94"/>
      <c r="AS1" s="94"/>
      <c r="AT1" s="94"/>
      <c r="AU1" s="94"/>
      <c r="AV1" s="94"/>
      <c r="AW1" s="94"/>
      <c r="AX1" s="94"/>
      <c r="AY1" s="94"/>
      <c r="AZ1" s="94"/>
      <c r="BA1" s="94"/>
      <c r="BB1" s="94"/>
    </row>
    <row r="2" spans="2:54" ht="12.75">
      <c r="B2" s="110"/>
      <c r="C2" s="111"/>
      <c r="D2" s="111"/>
      <c r="E2" s="111"/>
      <c r="F2" s="111"/>
      <c r="G2" s="111"/>
      <c r="H2" s="111"/>
      <c r="I2" s="111"/>
      <c r="J2" s="111"/>
      <c r="K2" s="782" t="str">
        <f>Aloitus!D19</f>
        <v>Versio 1.4</v>
      </c>
      <c r="L2" s="825"/>
      <c r="M2" s="112"/>
      <c r="O2" s="110"/>
      <c r="P2" s="111"/>
      <c r="Q2" s="111"/>
      <c r="R2" s="111"/>
      <c r="S2" s="111"/>
      <c r="T2" s="111"/>
      <c r="U2" s="111"/>
      <c r="V2" s="179"/>
      <c r="W2" s="111"/>
      <c r="X2" s="782" t="str">
        <f>Aloitus!D19</f>
        <v>Versio 1.4</v>
      </c>
      <c r="Y2" s="825"/>
      <c r="Z2" s="112"/>
      <c r="AB2" s="110"/>
      <c r="AC2" s="111"/>
      <c r="AD2" s="111"/>
      <c r="AE2" s="111"/>
      <c r="AF2" s="111"/>
      <c r="AG2" s="111"/>
      <c r="AH2" s="111"/>
      <c r="AI2" s="111"/>
      <c r="AJ2" s="111"/>
      <c r="AK2" s="824" t="str">
        <f>Aloitus!D19</f>
        <v>Versio 1.4</v>
      </c>
      <c r="AL2" s="825"/>
      <c r="AM2" s="112"/>
      <c r="AO2" s="94"/>
      <c r="AP2" s="94"/>
      <c r="AQ2" s="94"/>
      <c r="AR2" s="94"/>
      <c r="AS2" s="94"/>
      <c r="AT2" s="94"/>
      <c r="AU2" s="94"/>
      <c r="AV2" s="94"/>
      <c r="AW2" s="94"/>
      <c r="AX2" s="94"/>
      <c r="AY2" s="94"/>
      <c r="AZ2" s="94"/>
      <c r="BA2" s="94"/>
      <c r="BB2" s="94"/>
    </row>
    <row r="3" spans="2:54" ht="7.5" customHeight="1">
      <c r="B3" s="113"/>
      <c r="C3" s="162" t="s">
        <v>5</v>
      </c>
      <c r="D3" s="111"/>
      <c r="E3" s="111"/>
      <c r="F3" s="111"/>
      <c r="G3" s="163"/>
      <c r="H3" s="162" t="s">
        <v>6</v>
      </c>
      <c r="I3" s="163"/>
      <c r="J3" s="162" t="s">
        <v>17</v>
      </c>
      <c r="K3" s="164"/>
      <c r="L3" s="117"/>
      <c r="M3" s="118"/>
      <c r="N3" s="11"/>
      <c r="O3" s="113"/>
      <c r="P3" s="162" t="s">
        <v>5</v>
      </c>
      <c r="Q3" s="111"/>
      <c r="R3" s="111"/>
      <c r="S3" s="111"/>
      <c r="T3" s="163"/>
      <c r="U3" s="162" t="s">
        <v>6</v>
      </c>
      <c r="V3" s="180"/>
      <c r="W3" s="162" t="s">
        <v>17</v>
      </c>
      <c r="X3" s="164"/>
      <c r="Y3" s="117"/>
      <c r="Z3" s="118"/>
      <c r="AA3" s="11"/>
      <c r="AB3" s="113"/>
      <c r="AC3" s="162" t="s">
        <v>5</v>
      </c>
      <c r="AD3" s="111"/>
      <c r="AE3" s="111"/>
      <c r="AF3" s="111"/>
      <c r="AG3" s="163"/>
      <c r="AH3" s="162" t="s">
        <v>6</v>
      </c>
      <c r="AI3" s="163"/>
      <c r="AJ3" s="162" t="s">
        <v>17</v>
      </c>
      <c r="AK3" s="164"/>
      <c r="AL3" s="117"/>
      <c r="AM3" s="118"/>
      <c r="AN3" s="11"/>
      <c r="AO3" s="94"/>
      <c r="AP3" s="94"/>
      <c r="AQ3" s="94"/>
      <c r="AR3" s="94"/>
      <c r="AS3" s="94"/>
      <c r="AT3" s="94"/>
      <c r="AU3" s="94"/>
      <c r="AV3" s="94"/>
      <c r="AW3" s="94"/>
      <c r="AX3" s="94"/>
      <c r="AY3" s="94"/>
      <c r="AZ3" s="94"/>
      <c r="BA3" s="94"/>
      <c r="BB3" s="94"/>
    </row>
    <row r="4" spans="2:54" ht="12" customHeight="1">
      <c r="B4" s="113"/>
      <c r="C4" s="839" t="s">
        <v>1</v>
      </c>
      <c r="D4" s="840"/>
      <c r="E4" s="840"/>
      <c r="F4" s="840"/>
      <c r="G4" s="841"/>
      <c r="H4" s="847" t="s">
        <v>1</v>
      </c>
      <c r="I4" s="848"/>
      <c r="J4" s="812" t="s">
        <v>67</v>
      </c>
      <c r="K4" s="813"/>
      <c r="L4" s="814"/>
      <c r="M4" s="123"/>
      <c r="N4" s="13"/>
      <c r="O4" s="113"/>
      <c r="P4" s="764" t="str">
        <f>C4</f>
        <v>x</v>
      </c>
      <c r="Q4" s="765"/>
      <c r="R4" s="765"/>
      <c r="S4" s="765"/>
      <c r="T4" s="766"/>
      <c r="U4" s="763" t="str">
        <f>H4</f>
        <v>x</v>
      </c>
      <c r="V4" s="811"/>
      <c r="W4" s="812" t="s">
        <v>68</v>
      </c>
      <c r="X4" s="813"/>
      <c r="Y4" s="814"/>
      <c r="Z4" s="123"/>
      <c r="AA4" s="13"/>
      <c r="AB4" s="113"/>
      <c r="AC4" s="764" t="str">
        <f>C4</f>
        <v>x</v>
      </c>
      <c r="AD4" s="765"/>
      <c r="AE4" s="765"/>
      <c r="AF4" s="765"/>
      <c r="AG4" s="766"/>
      <c r="AH4" s="763" t="str">
        <f>H4</f>
        <v>x</v>
      </c>
      <c r="AI4" s="811"/>
      <c r="AJ4" s="812" t="s">
        <v>69</v>
      </c>
      <c r="AK4" s="813"/>
      <c r="AL4" s="814"/>
      <c r="AM4" s="123"/>
      <c r="AN4" s="13"/>
      <c r="AO4" s="94"/>
      <c r="AP4" s="94"/>
      <c r="AQ4" s="94"/>
      <c r="AR4" s="94"/>
      <c r="AS4" s="94"/>
      <c r="AT4" s="94"/>
      <c r="AU4" s="94"/>
      <c r="AV4" s="94"/>
      <c r="AW4" s="94"/>
      <c r="AX4" s="94"/>
      <c r="AY4" s="94"/>
      <c r="AZ4" s="94"/>
      <c r="BA4" s="94"/>
      <c r="BB4" s="94"/>
    </row>
    <row r="5" spans="2:54" ht="7.5" customHeight="1">
      <c r="B5" s="113"/>
      <c r="C5" s="839"/>
      <c r="D5" s="840"/>
      <c r="E5" s="840"/>
      <c r="F5" s="840"/>
      <c r="G5" s="841"/>
      <c r="H5" s="162" t="s">
        <v>7</v>
      </c>
      <c r="I5" s="165" t="s">
        <v>18</v>
      </c>
      <c r="J5" s="812"/>
      <c r="K5" s="813"/>
      <c r="L5" s="814"/>
      <c r="M5" s="123"/>
      <c r="N5" s="13"/>
      <c r="O5" s="113"/>
      <c r="P5" s="764"/>
      <c r="Q5" s="765"/>
      <c r="R5" s="765"/>
      <c r="S5" s="765"/>
      <c r="T5" s="766"/>
      <c r="U5" s="162" t="s">
        <v>7</v>
      </c>
      <c r="V5" s="181" t="s">
        <v>18</v>
      </c>
      <c r="W5" s="812"/>
      <c r="X5" s="813"/>
      <c r="Y5" s="814"/>
      <c r="Z5" s="123"/>
      <c r="AA5" s="13"/>
      <c r="AB5" s="113"/>
      <c r="AC5" s="764"/>
      <c r="AD5" s="765"/>
      <c r="AE5" s="765"/>
      <c r="AF5" s="765"/>
      <c r="AG5" s="766"/>
      <c r="AH5" s="162" t="s">
        <v>7</v>
      </c>
      <c r="AI5" s="165" t="s">
        <v>18</v>
      </c>
      <c r="AJ5" s="812"/>
      <c r="AK5" s="813"/>
      <c r="AL5" s="814"/>
      <c r="AM5" s="123"/>
      <c r="AN5" s="13"/>
      <c r="AO5" s="94"/>
      <c r="AP5" s="94"/>
      <c r="AQ5" s="94"/>
      <c r="AR5" s="94"/>
      <c r="AS5" s="94"/>
      <c r="AT5" s="94"/>
      <c r="AU5" s="94"/>
      <c r="AV5" s="94"/>
      <c r="AW5" s="94"/>
      <c r="AX5" s="94"/>
      <c r="AY5" s="94"/>
      <c r="AZ5" s="94"/>
      <c r="BA5" s="94"/>
      <c r="BB5" s="94"/>
    </row>
    <row r="6" spans="2:54" ht="12" customHeight="1">
      <c r="B6" s="113"/>
      <c r="C6" s="842"/>
      <c r="D6" s="843"/>
      <c r="E6" s="843"/>
      <c r="F6" s="843"/>
      <c r="G6" s="844"/>
      <c r="H6" s="40" t="s">
        <v>1</v>
      </c>
      <c r="I6" s="208" t="s">
        <v>1</v>
      </c>
      <c r="J6" s="815"/>
      <c r="K6" s="816"/>
      <c r="L6" s="817"/>
      <c r="M6" s="123"/>
      <c r="N6" s="13"/>
      <c r="O6" s="113"/>
      <c r="P6" s="760"/>
      <c r="Q6" s="761"/>
      <c r="R6" s="761"/>
      <c r="S6" s="761"/>
      <c r="T6" s="762"/>
      <c r="U6" s="182" t="str">
        <f>H6</f>
        <v>x</v>
      </c>
      <c r="V6" s="209" t="str">
        <f>I6</f>
        <v>x</v>
      </c>
      <c r="W6" s="815"/>
      <c r="X6" s="816"/>
      <c r="Y6" s="817"/>
      <c r="Z6" s="123"/>
      <c r="AA6" s="13"/>
      <c r="AB6" s="113"/>
      <c r="AC6" s="760"/>
      <c r="AD6" s="761"/>
      <c r="AE6" s="761"/>
      <c r="AF6" s="761"/>
      <c r="AG6" s="762"/>
      <c r="AH6" s="182" t="str">
        <f>H6</f>
        <v>x</v>
      </c>
      <c r="AI6" s="209" t="str">
        <f>I6</f>
        <v>x</v>
      </c>
      <c r="AJ6" s="815"/>
      <c r="AK6" s="816"/>
      <c r="AL6" s="817"/>
      <c r="AM6" s="123"/>
      <c r="AN6" s="13"/>
      <c r="AO6" s="94"/>
      <c r="AP6" s="94"/>
      <c r="AQ6" s="94"/>
      <c r="AR6" s="94"/>
      <c r="AS6" s="94"/>
      <c r="AT6" s="94"/>
      <c r="AU6" s="94"/>
      <c r="AV6" s="94"/>
      <c r="AW6" s="94"/>
      <c r="AX6" s="94"/>
      <c r="AY6" s="94"/>
      <c r="AZ6" s="94"/>
      <c r="BA6" s="94"/>
      <c r="BB6" s="94"/>
    </row>
    <row r="7" spans="2:54" ht="7.5" customHeight="1">
      <c r="B7" s="113"/>
      <c r="C7" s="162" t="s">
        <v>8</v>
      </c>
      <c r="D7" s="111"/>
      <c r="E7" s="111"/>
      <c r="F7" s="111"/>
      <c r="G7" s="163"/>
      <c r="H7" s="162" t="s">
        <v>9</v>
      </c>
      <c r="I7" s="111"/>
      <c r="J7" s="111"/>
      <c r="K7" s="111"/>
      <c r="L7" s="163"/>
      <c r="M7" s="129"/>
      <c r="N7" s="12"/>
      <c r="O7" s="113"/>
      <c r="P7" s="162" t="s">
        <v>8</v>
      </c>
      <c r="Q7" s="111"/>
      <c r="R7" s="111"/>
      <c r="S7" s="111"/>
      <c r="T7" s="163"/>
      <c r="U7" s="162" t="s">
        <v>9</v>
      </c>
      <c r="V7" s="179"/>
      <c r="W7" s="111"/>
      <c r="X7" s="111"/>
      <c r="Y7" s="163"/>
      <c r="Z7" s="129"/>
      <c r="AA7" s="12"/>
      <c r="AB7" s="113"/>
      <c r="AC7" s="162" t="s">
        <v>8</v>
      </c>
      <c r="AD7" s="111"/>
      <c r="AE7" s="111"/>
      <c r="AF7" s="111"/>
      <c r="AG7" s="163"/>
      <c r="AH7" s="162" t="s">
        <v>9</v>
      </c>
      <c r="AI7" s="111"/>
      <c r="AJ7" s="111"/>
      <c r="AK7" s="111"/>
      <c r="AL7" s="163"/>
      <c r="AM7" s="129"/>
      <c r="AN7" s="12"/>
      <c r="AO7" s="94"/>
      <c r="AP7" s="94"/>
      <c r="AQ7" s="94"/>
      <c r="AR7" s="94"/>
      <c r="AS7" s="94"/>
      <c r="AT7" s="94"/>
      <c r="AU7" s="94"/>
      <c r="AV7" s="94"/>
      <c r="AW7" s="94"/>
      <c r="AX7" s="94"/>
      <c r="AY7" s="94"/>
      <c r="AZ7" s="94"/>
      <c r="BA7" s="94"/>
      <c r="BB7" s="94"/>
    </row>
    <row r="8" spans="2:54" ht="7.5" customHeight="1">
      <c r="B8" s="113"/>
      <c r="C8" s="839" t="s">
        <v>1</v>
      </c>
      <c r="D8" s="840"/>
      <c r="E8" s="840"/>
      <c r="F8" s="840"/>
      <c r="G8" s="841"/>
      <c r="H8" s="826" t="s">
        <v>77</v>
      </c>
      <c r="I8" s="827"/>
      <c r="J8" s="827"/>
      <c r="K8" s="827"/>
      <c r="L8" s="828"/>
      <c r="M8" s="131"/>
      <c r="N8" s="14"/>
      <c r="O8" s="113"/>
      <c r="P8" s="764" t="str">
        <f>C8</f>
        <v>x</v>
      </c>
      <c r="Q8" s="765"/>
      <c r="R8" s="765"/>
      <c r="S8" s="765"/>
      <c r="T8" s="766"/>
      <c r="U8" s="826" t="s">
        <v>77</v>
      </c>
      <c r="V8" s="827"/>
      <c r="W8" s="827"/>
      <c r="X8" s="827"/>
      <c r="Y8" s="828"/>
      <c r="Z8" s="131"/>
      <c r="AA8" s="14"/>
      <c r="AB8" s="113"/>
      <c r="AC8" s="764" t="str">
        <f>C8</f>
        <v>x</v>
      </c>
      <c r="AD8" s="765"/>
      <c r="AE8" s="765"/>
      <c r="AF8" s="765"/>
      <c r="AG8" s="766"/>
      <c r="AH8" s="826" t="s">
        <v>77</v>
      </c>
      <c r="AI8" s="827"/>
      <c r="AJ8" s="827"/>
      <c r="AK8" s="827"/>
      <c r="AL8" s="828"/>
      <c r="AM8" s="131"/>
      <c r="AN8" s="14"/>
      <c r="AO8" s="94"/>
      <c r="AP8" s="94"/>
      <c r="AQ8" s="94"/>
      <c r="AR8" s="94"/>
      <c r="AS8" s="94"/>
      <c r="AT8" s="94"/>
      <c r="AU8" s="94"/>
      <c r="AV8" s="94"/>
      <c r="AW8" s="94"/>
      <c r="AX8" s="94"/>
      <c r="AY8" s="94"/>
      <c r="AZ8" s="94"/>
      <c r="BA8" s="94"/>
      <c r="BB8" s="94"/>
    </row>
    <row r="9" spans="2:54" ht="13.5" customHeight="1">
      <c r="B9" s="113"/>
      <c r="C9" s="839"/>
      <c r="D9" s="840"/>
      <c r="E9" s="840"/>
      <c r="F9" s="840"/>
      <c r="G9" s="841"/>
      <c r="H9" s="826"/>
      <c r="I9" s="827"/>
      <c r="J9" s="827"/>
      <c r="K9" s="827"/>
      <c r="L9" s="828"/>
      <c r="M9" s="131"/>
      <c r="N9" s="14"/>
      <c r="O9" s="113"/>
      <c r="P9" s="764"/>
      <c r="Q9" s="765"/>
      <c r="R9" s="765"/>
      <c r="S9" s="765"/>
      <c r="T9" s="766"/>
      <c r="U9" s="826"/>
      <c r="V9" s="827"/>
      <c r="W9" s="827"/>
      <c r="X9" s="827"/>
      <c r="Y9" s="828"/>
      <c r="Z9" s="131"/>
      <c r="AA9" s="14"/>
      <c r="AB9" s="113"/>
      <c r="AC9" s="764"/>
      <c r="AD9" s="765"/>
      <c r="AE9" s="765"/>
      <c r="AF9" s="765"/>
      <c r="AG9" s="766"/>
      <c r="AH9" s="826"/>
      <c r="AI9" s="827"/>
      <c r="AJ9" s="827"/>
      <c r="AK9" s="827"/>
      <c r="AL9" s="828"/>
      <c r="AM9" s="131"/>
      <c r="AN9" s="14"/>
      <c r="AO9" s="94"/>
      <c r="AP9" s="94"/>
      <c r="AQ9" s="94"/>
      <c r="AR9" s="94"/>
      <c r="AS9" s="94"/>
      <c r="AT9" s="94"/>
      <c r="AU9" s="94"/>
      <c r="AV9" s="94"/>
      <c r="AW9" s="94"/>
      <c r="AX9" s="94"/>
      <c r="AY9" s="94"/>
      <c r="AZ9" s="94"/>
      <c r="BA9" s="94"/>
      <c r="BB9" s="94"/>
    </row>
    <row r="10" spans="2:54" ht="9.75" customHeight="1">
      <c r="B10" s="113"/>
      <c r="C10" s="842"/>
      <c r="D10" s="843"/>
      <c r="E10" s="843"/>
      <c r="F10" s="843"/>
      <c r="G10" s="844"/>
      <c r="H10" s="829"/>
      <c r="I10" s="830"/>
      <c r="J10" s="830"/>
      <c r="K10" s="830"/>
      <c r="L10" s="831"/>
      <c r="M10" s="131"/>
      <c r="N10" s="14"/>
      <c r="O10" s="113"/>
      <c r="P10" s="760"/>
      <c r="Q10" s="761"/>
      <c r="R10" s="761"/>
      <c r="S10" s="761"/>
      <c r="T10" s="762"/>
      <c r="U10" s="829"/>
      <c r="V10" s="830"/>
      <c r="W10" s="830"/>
      <c r="X10" s="830"/>
      <c r="Y10" s="831"/>
      <c r="Z10" s="131"/>
      <c r="AA10" s="14"/>
      <c r="AB10" s="113"/>
      <c r="AC10" s="760"/>
      <c r="AD10" s="761"/>
      <c r="AE10" s="761"/>
      <c r="AF10" s="761"/>
      <c r="AG10" s="762"/>
      <c r="AH10" s="829"/>
      <c r="AI10" s="830"/>
      <c r="AJ10" s="830"/>
      <c r="AK10" s="830"/>
      <c r="AL10" s="831"/>
      <c r="AM10" s="131"/>
      <c r="AN10" s="14"/>
      <c r="AO10" s="94"/>
      <c r="AP10" s="94"/>
      <c r="AQ10" s="94"/>
      <c r="AR10" s="94"/>
      <c r="AS10" s="94"/>
      <c r="AT10" s="94"/>
      <c r="AU10" s="94"/>
      <c r="AV10" s="94"/>
      <c r="AW10" s="94"/>
      <c r="AX10" s="94"/>
      <c r="AY10" s="94"/>
      <c r="AZ10" s="94"/>
      <c r="BA10" s="94"/>
      <c r="BB10" s="94"/>
    </row>
    <row r="11" spans="2:54" ht="12.75" customHeight="1">
      <c r="B11" s="113"/>
      <c r="C11" s="111"/>
      <c r="D11" s="111"/>
      <c r="E11" s="111"/>
      <c r="F11" s="111"/>
      <c r="G11" s="111"/>
      <c r="H11" s="111"/>
      <c r="I11" s="111"/>
      <c r="J11" s="111"/>
      <c r="K11" s="111"/>
      <c r="L11" s="111"/>
      <c r="M11" s="129"/>
      <c r="N11" s="12"/>
      <c r="O11" s="113"/>
      <c r="P11" s="111"/>
      <c r="Q11" s="111"/>
      <c r="R11" s="111"/>
      <c r="S11" s="111"/>
      <c r="T11" s="111"/>
      <c r="U11" s="111"/>
      <c r="V11" s="179"/>
      <c r="W11" s="111"/>
      <c r="X11" s="111"/>
      <c r="Y11" s="111"/>
      <c r="Z11" s="129"/>
      <c r="AA11" s="12"/>
      <c r="AB11" s="113"/>
      <c r="AC11" s="574"/>
      <c r="AD11" s="574"/>
      <c r="AE11" s="574"/>
      <c r="AF11" s="574"/>
      <c r="AG11" s="574"/>
      <c r="AH11" s="574"/>
      <c r="AI11" s="574"/>
      <c r="AJ11" s="574"/>
      <c r="AK11" s="574"/>
      <c r="AL11" s="574"/>
      <c r="AM11" s="129"/>
      <c r="AN11" s="12"/>
      <c r="AO11" s="94"/>
      <c r="AP11" s="94"/>
      <c r="AQ11" s="94"/>
      <c r="AR11" s="94"/>
      <c r="AS11" s="94"/>
      <c r="AT11" s="94"/>
      <c r="AU11" s="94"/>
      <c r="AV11" s="94"/>
      <c r="AW11" s="94"/>
      <c r="AX11" s="94"/>
      <c r="AY11" s="94"/>
      <c r="AZ11" s="94"/>
      <c r="BA11" s="94"/>
      <c r="BB11" s="94"/>
    </row>
    <row r="12" spans="2:54" ht="12.75" customHeight="1">
      <c r="B12" s="113"/>
      <c r="C12" s="110"/>
      <c r="D12" s="166"/>
      <c r="E12" s="167"/>
      <c r="F12" s="167"/>
      <c r="G12" s="167"/>
      <c r="H12" s="167"/>
      <c r="I12" s="167"/>
      <c r="J12" s="167"/>
      <c r="K12" s="167"/>
      <c r="L12" s="163"/>
      <c r="M12" s="129"/>
      <c r="N12" s="12"/>
      <c r="O12" s="113"/>
      <c r="P12" s="110"/>
      <c r="Q12" s="111"/>
      <c r="R12" s="111"/>
      <c r="S12" s="111"/>
      <c r="T12" s="111"/>
      <c r="U12" s="111"/>
      <c r="V12" s="111"/>
      <c r="W12" s="111"/>
      <c r="X12" s="111"/>
      <c r="Y12" s="163"/>
      <c r="Z12" s="129"/>
      <c r="AA12" s="12"/>
      <c r="AB12" s="113"/>
      <c r="AC12" s="575"/>
      <c r="AD12" s="574"/>
      <c r="AE12" s="574"/>
      <c r="AF12" s="574"/>
      <c r="AG12" s="574"/>
      <c r="AH12" s="574"/>
      <c r="AI12" s="574"/>
      <c r="AJ12" s="574"/>
      <c r="AK12" s="574"/>
      <c r="AL12" s="576"/>
      <c r="AM12" s="129"/>
      <c r="AN12" s="12"/>
      <c r="AO12" s="94"/>
      <c r="AP12" s="94"/>
      <c r="AQ12" s="650"/>
      <c r="AR12" s="18"/>
      <c r="AS12" s="498"/>
      <c r="AT12" s="650"/>
      <c r="AU12" s="18"/>
      <c r="AV12" s="15"/>
      <c r="AW12" s="15"/>
      <c r="AX12" s="94"/>
      <c r="AY12" s="94"/>
      <c r="AZ12" s="94"/>
      <c r="BA12" s="94"/>
      <c r="BB12" s="94"/>
    </row>
    <row r="13" spans="2:54" ht="12.75" customHeight="1" thickBot="1">
      <c r="B13" s="113"/>
      <c r="C13" s="113"/>
      <c r="D13" s="332" t="s">
        <v>195</v>
      </c>
      <c r="E13" s="333"/>
      <c r="F13" s="333"/>
      <c r="G13" s="333"/>
      <c r="H13" s="333"/>
      <c r="I13" s="333"/>
      <c r="J13" s="333"/>
      <c r="K13" s="334" t="s">
        <v>85</v>
      </c>
      <c r="L13" s="81"/>
      <c r="M13" s="129"/>
      <c r="N13" s="12"/>
      <c r="O13" s="113"/>
      <c r="P13" s="113"/>
      <c r="Q13" s="818" t="s">
        <v>375</v>
      </c>
      <c r="R13" s="819"/>
      <c r="S13" s="819"/>
      <c r="T13" s="820"/>
      <c r="U13" s="833" t="s">
        <v>421</v>
      </c>
      <c r="V13" s="819"/>
      <c r="W13" s="819"/>
      <c r="X13" s="834"/>
      <c r="Y13" s="81"/>
      <c r="Z13" s="129"/>
      <c r="AA13" s="12"/>
      <c r="AB13" s="113"/>
      <c r="AC13" s="577"/>
      <c r="AD13" s="562" t="s">
        <v>472</v>
      </c>
      <c r="AE13" s="564"/>
      <c r="AF13" s="564"/>
      <c r="AG13" s="586"/>
      <c r="AH13" s="587"/>
      <c r="AI13" s="587"/>
      <c r="AJ13" s="587"/>
      <c r="AK13" s="587"/>
      <c r="AL13" s="579"/>
      <c r="AM13" s="129"/>
      <c r="AN13" s="12"/>
      <c r="AO13" s="94"/>
      <c r="AP13" s="94"/>
      <c r="AQ13" s="650"/>
      <c r="AR13" s="650"/>
      <c r="AS13" s="498"/>
      <c r="AT13" s="650"/>
      <c r="AU13" s="18"/>
      <c r="AV13" s="18"/>
      <c r="AW13" s="15"/>
      <c r="AX13" s="94"/>
      <c r="AY13" s="94"/>
      <c r="AZ13" s="94"/>
      <c r="BA13" s="94"/>
      <c r="BB13" s="94"/>
    </row>
    <row r="14" spans="2:54" ht="12.75" customHeight="1" thickTop="1">
      <c r="B14" s="113"/>
      <c r="C14" s="113"/>
      <c r="D14" s="83"/>
      <c r="E14" s="83"/>
      <c r="F14" s="83"/>
      <c r="G14" s="83"/>
      <c r="H14" s="83"/>
      <c r="I14" s="83"/>
      <c r="J14" s="83"/>
      <c r="K14" s="83"/>
      <c r="L14" s="81"/>
      <c r="M14" s="129"/>
      <c r="N14" s="12"/>
      <c r="O14" s="113"/>
      <c r="P14" s="113"/>
      <c r="Q14" s="821"/>
      <c r="R14" s="822"/>
      <c r="S14" s="822"/>
      <c r="T14" s="823"/>
      <c r="U14" s="835"/>
      <c r="V14" s="822"/>
      <c r="W14" s="822"/>
      <c r="X14" s="836"/>
      <c r="Y14" s="81"/>
      <c r="Z14" s="129"/>
      <c r="AA14" s="12"/>
      <c r="AB14" s="113"/>
      <c r="AC14" s="580"/>
      <c r="AD14" s="171" t="s">
        <v>457</v>
      </c>
      <c r="AE14" s="718" t="str">
        <f>IF(Data!C180="Ei jäykisteitä","-",Data!D187)</f>
        <v>-</v>
      </c>
      <c r="AF14" s="570" t="s">
        <v>0</v>
      </c>
      <c r="AG14" s="559" t="s">
        <v>270</v>
      </c>
      <c r="AH14" s="55"/>
      <c r="AI14" s="55"/>
      <c r="AJ14" s="55"/>
      <c r="AK14" s="55"/>
      <c r="AL14" s="581"/>
      <c r="AM14" s="129"/>
      <c r="AN14" s="12"/>
      <c r="AO14" s="94"/>
      <c r="AP14" s="94"/>
      <c r="AQ14" s="650"/>
      <c r="AR14" s="19"/>
      <c r="AS14" s="19"/>
      <c r="AT14" s="19"/>
      <c r="AU14" s="18"/>
      <c r="AV14" s="18"/>
      <c r="AW14" s="15"/>
      <c r="AX14" s="94"/>
      <c r="AY14" s="94"/>
      <c r="AZ14" s="94"/>
      <c r="BA14" s="94"/>
      <c r="BB14" s="94"/>
    </row>
    <row r="15" spans="2:54" ht="12.75" customHeight="1">
      <c r="B15" s="113"/>
      <c r="C15" s="113"/>
      <c r="D15" s="519" t="str">
        <f>G68</f>
        <v>Palkki</v>
      </c>
      <c r="E15" s="83"/>
      <c r="F15" s="55"/>
      <c r="G15" s="55"/>
      <c r="H15" s="83"/>
      <c r="I15" s="55"/>
      <c r="J15" s="55"/>
      <c r="K15" s="55"/>
      <c r="L15" s="81"/>
      <c r="M15" s="129"/>
      <c r="N15" s="12"/>
      <c r="O15" s="113"/>
      <c r="P15" s="113"/>
      <c r="Q15" s="799" t="s">
        <v>418</v>
      </c>
      <c r="R15" s="800"/>
      <c r="S15" s="800"/>
      <c r="T15" s="801"/>
      <c r="U15" s="837" t="s">
        <v>417</v>
      </c>
      <c r="V15" s="800"/>
      <c r="W15" s="800"/>
      <c r="X15" s="838"/>
      <c r="Y15" s="81"/>
      <c r="Z15" s="129"/>
      <c r="AA15" s="12"/>
      <c r="AB15" s="113"/>
      <c r="AC15" s="582"/>
      <c r="AD15" s="170" t="s">
        <v>354</v>
      </c>
      <c r="AE15" s="540" t="str">
        <f>IF(Data!C180="Ei jäykisteitä","-",Data!D220)</f>
        <v>-</v>
      </c>
      <c r="AF15" s="570" t="s">
        <v>355</v>
      </c>
      <c r="AG15" s="559" t="s">
        <v>376</v>
      </c>
      <c r="AH15" s="570"/>
      <c r="AI15" s="558"/>
      <c r="AJ15" s="55"/>
      <c r="AK15" s="55"/>
      <c r="AL15" s="581"/>
      <c r="AM15" s="129"/>
      <c r="AN15" s="12"/>
      <c r="AO15" s="94"/>
      <c r="AP15" s="94"/>
      <c r="AQ15" s="19"/>
      <c r="AR15" s="650"/>
      <c r="AS15" s="21"/>
      <c r="AT15" s="19"/>
      <c r="AU15" s="18"/>
      <c r="AV15" s="18"/>
      <c r="AW15" s="15"/>
      <c r="AX15" s="94"/>
      <c r="AY15" s="94"/>
      <c r="AZ15" s="94"/>
      <c r="BA15" s="94"/>
      <c r="BB15" s="94"/>
    </row>
    <row r="16" spans="2:54" ht="12.75" customHeight="1">
      <c r="B16" s="113"/>
      <c r="C16" s="113"/>
      <c r="D16" s="55"/>
      <c r="E16" s="55"/>
      <c r="F16" s="55"/>
      <c r="G16" s="55"/>
      <c r="H16" s="55"/>
      <c r="I16" s="55"/>
      <c r="J16" s="55"/>
      <c r="K16" s="55"/>
      <c r="L16" s="81"/>
      <c r="M16" s="129"/>
      <c r="N16" s="12"/>
      <c r="O16" s="113"/>
      <c r="P16" s="113"/>
      <c r="Q16" s="734"/>
      <c r="R16" s="83"/>
      <c r="S16" s="83"/>
      <c r="T16" s="735"/>
      <c r="U16" s="746"/>
      <c r="V16" s="83"/>
      <c r="W16" s="83"/>
      <c r="X16" s="747"/>
      <c r="Y16" s="81"/>
      <c r="Z16" s="129"/>
      <c r="AA16" s="12"/>
      <c r="AB16" s="113"/>
      <c r="AC16" s="582"/>
      <c r="AD16" s="35" t="s">
        <v>357</v>
      </c>
      <c r="AE16" s="540" t="str">
        <f>IF(Data!C180="Ei jäykisteitä","-",Data!D97)</f>
        <v>-</v>
      </c>
      <c r="AF16" s="570" t="s">
        <v>355</v>
      </c>
      <c r="AG16" s="559" t="s">
        <v>346</v>
      </c>
      <c r="AH16" s="570"/>
      <c r="AI16" s="558"/>
      <c r="AJ16" s="558"/>
      <c r="AK16" s="55"/>
      <c r="AL16" s="581"/>
      <c r="AM16" s="129"/>
      <c r="AN16" s="12"/>
      <c r="AO16" s="94"/>
      <c r="AP16" s="94"/>
      <c r="AQ16" s="650"/>
      <c r="AR16" s="650"/>
      <c r="AS16" s="498"/>
      <c r="AT16" s="650"/>
      <c r="AU16" s="18"/>
      <c r="AV16" s="18"/>
      <c r="AW16" s="15"/>
      <c r="AX16" s="94"/>
      <c r="AY16" s="94"/>
      <c r="AZ16" s="94"/>
      <c r="BA16" s="94"/>
      <c r="BB16" s="94"/>
    </row>
    <row r="17" spans="2:54" ht="12.75" customHeight="1">
      <c r="B17" s="113"/>
      <c r="C17" s="113"/>
      <c r="D17" s="171" t="s">
        <v>14</v>
      </c>
      <c r="E17" s="55"/>
      <c r="F17" s="55"/>
      <c r="G17" s="83"/>
      <c r="H17" s="83"/>
      <c r="I17" s="55"/>
      <c r="J17" s="55"/>
      <c r="K17" s="55"/>
      <c r="L17" s="172"/>
      <c r="M17" s="134"/>
      <c r="N17" s="17"/>
      <c r="O17" s="113"/>
      <c r="P17" s="113"/>
      <c r="Q17" s="734"/>
      <c r="R17" s="83"/>
      <c r="S17" s="83"/>
      <c r="T17" s="735"/>
      <c r="U17" s="746"/>
      <c r="V17" s="83"/>
      <c r="W17" s="83"/>
      <c r="X17" s="747"/>
      <c r="Y17" s="81"/>
      <c r="Z17" s="129"/>
      <c r="AA17" s="12"/>
      <c r="AB17" s="113"/>
      <c r="AC17" s="582"/>
      <c r="AD17" s="170" t="s">
        <v>380</v>
      </c>
      <c r="AE17" s="588" t="str">
        <f>IF(Data!C180="Ei jäykisteitä","-",Data!D210)</f>
        <v>-</v>
      </c>
      <c r="AF17" s="570" t="s">
        <v>0</v>
      </c>
      <c r="AG17" s="559" t="s">
        <v>370</v>
      </c>
      <c r="AH17" s="561"/>
      <c r="AI17" s="561"/>
      <c r="AJ17" s="561"/>
      <c r="AK17" s="55"/>
      <c r="AL17" s="583"/>
      <c r="AM17" s="129"/>
      <c r="AN17" s="12"/>
      <c r="AO17" s="94"/>
      <c r="AP17" s="94"/>
      <c r="AQ17" s="650"/>
      <c r="AR17" s="19"/>
      <c r="AS17" s="19"/>
      <c r="AT17" s="15"/>
      <c r="AU17" s="18"/>
      <c r="AV17" s="18"/>
      <c r="AW17" s="15"/>
      <c r="AX17" s="94"/>
      <c r="AY17" s="94"/>
      <c r="AZ17" s="94"/>
      <c r="BA17" s="94"/>
      <c r="BB17" s="94"/>
    </row>
    <row r="18" spans="2:54" ht="12.75" customHeight="1">
      <c r="B18" s="113"/>
      <c r="C18" s="113"/>
      <c r="D18" s="55"/>
      <c r="E18" s="55"/>
      <c r="F18" s="55"/>
      <c r="G18" s="55"/>
      <c r="H18" s="55"/>
      <c r="I18" s="55"/>
      <c r="J18" s="55"/>
      <c r="K18" s="55"/>
      <c r="L18" s="172"/>
      <c r="M18" s="134"/>
      <c r="N18" s="17"/>
      <c r="O18" s="113"/>
      <c r="P18" s="113"/>
      <c r="Q18" s="736"/>
      <c r="R18" s="41"/>
      <c r="S18" s="41"/>
      <c r="T18" s="737"/>
      <c r="U18" s="748"/>
      <c r="V18" s="41"/>
      <c r="W18" s="41"/>
      <c r="X18" s="749"/>
      <c r="Y18" s="81"/>
      <c r="Z18" s="129"/>
      <c r="AA18" s="12"/>
      <c r="AB18" s="113"/>
      <c r="AC18" s="584"/>
      <c r="AD18" s="170" t="s">
        <v>363</v>
      </c>
      <c r="AE18" s="588" t="str">
        <f>IF(Data!C180="Ei jäykisteitä","-",Data!D213)</f>
        <v>-</v>
      </c>
      <c r="AF18" s="570" t="s">
        <v>360</v>
      </c>
      <c r="AG18" s="559" t="s">
        <v>371</v>
      </c>
      <c r="AH18" s="570"/>
      <c r="AI18" s="558"/>
      <c r="AJ18" s="55"/>
      <c r="AK18" s="55"/>
      <c r="AL18" s="583"/>
      <c r="AM18" s="129"/>
      <c r="AN18" s="12"/>
      <c r="AO18" s="94"/>
      <c r="AP18" s="94"/>
      <c r="AQ18" s="650"/>
      <c r="AR18" s="19"/>
      <c r="AS18" s="19"/>
      <c r="AT18" s="19"/>
      <c r="AU18" s="18"/>
      <c r="AV18" s="18"/>
      <c r="AW18" s="15"/>
      <c r="AX18" s="94"/>
      <c r="AY18" s="94"/>
      <c r="AZ18" s="94"/>
      <c r="BA18" s="94"/>
      <c r="BB18" s="94"/>
    </row>
    <row r="19" spans="2:54" ht="12.75" customHeight="1">
      <c r="B19" s="113"/>
      <c r="C19" s="113"/>
      <c r="D19" s="171" t="str">
        <f>G67</f>
        <v>Kansirakenne</v>
      </c>
      <c r="E19" s="55"/>
      <c r="F19" s="55"/>
      <c r="G19" s="55"/>
      <c r="H19" s="55"/>
      <c r="I19" s="55"/>
      <c r="J19" s="55"/>
      <c r="K19" s="55"/>
      <c r="L19" s="484"/>
      <c r="M19" s="129"/>
      <c r="N19" s="12"/>
      <c r="O19" s="113"/>
      <c r="P19" s="113"/>
      <c r="Q19" s="736"/>
      <c r="R19" s="41"/>
      <c r="S19" s="41"/>
      <c r="T19" s="737"/>
      <c r="U19" s="748"/>
      <c r="V19" s="41"/>
      <c r="W19" s="41"/>
      <c r="X19" s="749"/>
      <c r="Y19" s="81"/>
      <c r="Z19" s="129"/>
      <c r="AA19" s="12"/>
      <c r="AB19" s="113"/>
      <c r="AC19" s="584"/>
      <c r="AD19" s="170" t="s">
        <v>377</v>
      </c>
      <c r="AE19" s="540" t="str">
        <f>IF(Data!C180="Ei jäykisteitä","-",Data!D221)</f>
        <v>-</v>
      </c>
      <c r="AF19" s="570" t="s">
        <v>360</v>
      </c>
      <c r="AG19" s="559" t="s">
        <v>382</v>
      </c>
      <c r="AH19" s="570"/>
      <c r="AI19" s="558"/>
      <c r="AJ19" s="558"/>
      <c r="AK19" s="55"/>
      <c r="AL19" s="583"/>
      <c r="AM19" s="129"/>
      <c r="AN19" s="12"/>
      <c r="AO19" s="94"/>
      <c r="AP19" s="94"/>
      <c r="AQ19" s="19"/>
      <c r="AR19" s="19"/>
      <c r="AS19" s="21"/>
      <c r="AT19" s="19"/>
      <c r="AU19" s="18"/>
      <c r="AV19" s="18"/>
      <c r="AW19" s="15"/>
      <c r="AX19" s="94"/>
      <c r="AY19" s="94"/>
      <c r="AZ19" s="94"/>
      <c r="BA19" s="94"/>
      <c r="BB19" s="94"/>
    </row>
    <row r="20" spans="2:54" ht="12.75" customHeight="1">
      <c r="B20" s="113"/>
      <c r="C20" s="113"/>
      <c r="D20" s="55"/>
      <c r="E20" s="55"/>
      <c r="F20" s="55"/>
      <c r="G20" s="55"/>
      <c r="H20" s="55"/>
      <c r="I20" s="83"/>
      <c r="J20" s="483"/>
      <c r="K20" s="483"/>
      <c r="L20" s="484"/>
      <c r="M20" s="129"/>
      <c r="N20" s="12"/>
      <c r="O20" s="113"/>
      <c r="P20" s="113"/>
      <c r="Q20" s="734"/>
      <c r="R20" s="83"/>
      <c r="S20" s="83"/>
      <c r="T20" s="735"/>
      <c r="U20" s="746"/>
      <c r="V20" s="83"/>
      <c r="W20" s="83"/>
      <c r="X20" s="747"/>
      <c r="Y20" s="81"/>
      <c r="Z20" s="129"/>
      <c r="AA20" s="12"/>
      <c r="AB20" s="113"/>
      <c r="AC20" s="584"/>
      <c r="AD20" s="170" t="s">
        <v>379</v>
      </c>
      <c r="AE20" s="569" t="str">
        <f>IF(Data!C180="Ei jäykisteitä","-",Data!D222)</f>
        <v>-</v>
      </c>
      <c r="AF20" s="570" t="s">
        <v>362</v>
      </c>
      <c r="AG20" s="559" t="s">
        <v>383</v>
      </c>
      <c r="AH20" s="55"/>
      <c r="AI20" s="558"/>
      <c r="AJ20" s="558"/>
      <c r="AK20" s="55"/>
      <c r="AL20" s="583"/>
      <c r="AM20" s="129"/>
      <c r="AN20" s="12"/>
      <c r="AO20" s="94"/>
      <c r="AP20" s="94"/>
      <c r="AQ20" s="19"/>
      <c r="AR20" s="19"/>
      <c r="AS20" s="21"/>
      <c r="AT20" s="19"/>
      <c r="AU20" s="18"/>
      <c r="AV20" s="18"/>
      <c r="AW20" s="15"/>
      <c r="AX20" s="94"/>
      <c r="AY20" s="94"/>
      <c r="AZ20" s="94"/>
      <c r="BA20" s="94"/>
      <c r="BB20" s="94"/>
    </row>
    <row r="21" spans="2:54" ht="12.75" customHeight="1">
      <c r="B21" s="113"/>
      <c r="C21" s="113"/>
      <c r="D21" s="170" t="s">
        <v>300</v>
      </c>
      <c r="E21" s="41"/>
      <c r="F21" s="55"/>
      <c r="G21" s="55"/>
      <c r="H21" s="41"/>
      <c r="I21" s="83"/>
      <c r="J21" s="55"/>
      <c r="K21" s="55"/>
      <c r="L21" s="81"/>
      <c r="M21" s="129"/>
      <c r="N21" s="12"/>
      <c r="O21" s="113"/>
      <c r="P21" s="113"/>
      <c r="Q21" s="734"/>
      <c r="R21" s="83"/>
      <c r="S21" s="83"/>
      <c r="T21" s="735"/>
      <c r="U21" s="746"/>
      <c r="V21" s="83"/>
      <c r="W21" s="83"/>
      <c r="X21" s="747"/>
      <c r="Y21" s="81"/>
      <c r="Z21" s="129"/>
      <c r="AA21" s="12"/>
      <c r="AB21" s="113"/>
      <c r="AC21" s="584"/>
      <c r="AD21" s="170" t="s">
        <v>349</v>
      </c>
      <c r="AE21" s="557" t="str">
        <f>IF(Data!C180="Ei jäykisteitä","-",Data!D231)</f>
        <v>-</v>
      </c>
      <c r="AF21" s="170" t="s">
        <v>44</v>
      </c>
      <c r="AG21" s="559" t="s">
        <v>381</v>
      </c>
      <c r="AH21" s="55"/>
      <c r="AI21" s="55"/>
      <c r="AJ21" s="55"/>
      <c r="AK21" s="55"/>
      <c r="AL21" s="583"/>
      <c r="AM21" s="129"/>
      <c r="AN21" s="12"/>
      <c r="AO21" s="94"/>
      <c r="AP21" s="94"/>
      <c r="AQ21" s="24"/>
      <c r="AR21" s="650"/>
      <c r="AS21" s="21"/>
      <c r="AT21" s="19"/>
      <c r="AU21" s="18"/>
      <c r="AV21" s="18"/>
      <c r="AW21" s="15"/>
      <c r="AX21" s="94"/>
      <c r="AY21" s="94"/>
      <c r="AZ21" s="94"/>
      <c r="BA21" s="94"/>
      <c r="BB21" s="94"/>
    </row>
    <row r="22" spans="2:54" ht="12.75" customHeight="1">
      <c r="B22" s="113"/>
      <c r="C22" s="113"/>
      <c r="D22" s="55"/>
      <c r="E22" s="55"/>
      <c r="F22" s="55"/>
      <c r="G22" s="55"/>
      <c r="H22" s="55"/>
      <c r="I22" s="55"/>
      <c r="J22" s="55"/>
      <c r="K22" s="55"/>
      <c r="L22" s="81"/>
      <c r="M22" s="129"/>
      <c r="N22" s="12"/>
      <c r="O22" s="113"/>
      <c r="P22" s="113"/>
      <c r="Q22" s="734"/>
      <c r="R22" s="83"/>
      <c r="S22" s="83"/>
      <c r="T22" s="735"/>
      <c r="U22" s="746"/>
      <c r="V22" s="83"/>
      <c r="W22" s="83"/>
      <c r="X22" s="747"/>
      <c r="Y22" s="81"/>
      <c r="Z22" s="129"/>
      <c r="AA22" s="12"/>
      <c r="AB22" s="113"/>
      <c r="AC22" s="584"/>
      <c r="AD22" s="170" t="s">
        <v>350</v>
      </c>
      <c r="AE22" s="571" t="str">
        <f>IF(Data!C180="Ei jäykisteitä","-",IF(Data!I12=0,"-",Data!D243))</f>
        <v>-</v>
      </c>
      <c r="AF22" s="171"/>
      <c r="AG22" s="559" t="s">
        <v>373</v>
      </c>
      <c r="AH22" s="55"/>
      <c r="AI22" s="55"/>
      <c r="AJ22" s="55"/>
      <c r="AK22" s="55"/>
      <c r="AL22" s="583"/>
      <c r="AM22" s="129"/>
      <c r="AN22" s="12"/>
      <c r="AO22" s="94"/>
      <c r="AP22" s="94"/>
      <c r="AQ22" s="19"/>
      <c r="AR22" s="650"/>
      <c r="AS22" s="21"/>
      <c r="AT22" s="19"/>
      <c r="AU22" s="18"/>
      <c r="AV22" s="18"/>
      <c r="AW22" s="15"/>
      <c r="AX22" s="94"/>
      <c r="AY22" s="94"/>
      <c r="AZ22" s="94"/>
      <c r="BA22" s="94"/>
      <c r="BB22" s="94"/>
    </row>
    <row r="23" spans="2:54" ht="12.75" customHeight="1">
      <c r="B23" s="113"/>
      <c r="C23" s="113"/>
      <c r="D23" s="170">
        <f>G69</f>
      </c>
      <c r="E23" s="83"/>
      <c r="F23" s="55"/>
      <c r="G23" s="55"/>
      <c r="H23" s="41"/>
      <c r="I23" s="55"/>
      <c r="J23" s="55"/>
      <c r="K23" s="55"/>
      <c r="L23" s="81"/>
      <c r="M23" s="129"/>
      <c r="N23" s="12"/>
      <c r="O23" s="113"/>
      <c r="P23" s="113"/>
      <c r="Q23" s="734"/>
      <c r="R23" s="83"/>
      <c r="S23" s="83"/>
      <c r="T23" s="735"/>
      <c r="U23" s="746"/>
      <c r="V23" s="83"/>
      <c r="W23" s="83"/>
      <c r="X23" s="747"/>
      <c r="Y23" s="81"/>
      <c r="Z23" s="129"/>
      <c r="AA23" s="12"/>
      <c r="AB23" s="113"/>
      <c r="AC23" s="584"/>
      <c r="AD23" s="170" t="s">
        <v>349</v>
      </c>
      <c r="AE23" s="571" t="str">
        <f>IF(Data!C180="Ei jäykisteitä","-",Data!D240)</f>
        <v>-</v>
      </c>
      <c r="AF23" s="170" t="s">
        <v>44</v>
      </c>
      <c r="AG23" s="559" t="s">
        <v>385</v>
      </c>
      <c r="AH23" s="55"/>
      <c r="AI23" s="55"/>
      <c r="AJ23" s="55"/>
      <c r="AK23" s="55"/>
      <c r="AL23" s="583"/>
      <c r="AM23" s="129"/>
      <c r="AN23" s="12"/>
      <c r="AO23" s="94"/>
      <c r="AP23" s="94"/>
      <c r="AQ23" s="19"/>
      <c r="AR23" s="650"/>
      <c r="AS23" s="97"/>
      <c r="AT23" s="19"/>
      <c r="AU23" s="18"/>
      <c r="AV23" s="18"/>
      <c r="AW23" s="15"/>
      <c r="AX23" s="94"/>
      <c r="AY23" s="94"/>
      <c r="AZ23" s="94"/>
      <c r="BA23" s="94"/>
      <c r="BB23" s="94"/>
    </row>
    <row r="24" spans="2:54" ht="12.75" customHeight="1">
      <c r="B24" s="113"/>
      <c r="C24" s="113"/>
      <c r="D24" s="55"/>
      <c r="E24" s="55"/>
      <c r="F24" s="55"/>
      <c r="G24" s="55"/>
      <c r="H24" s="55"/>
      <c r="I24" s="55"/>
      <c r="J24" s="55"/>
      <c r="K24" s="83"/>
      <c r="L24" s="81"/>
      <c r="M24" s="129"/>
      <c r="N24" s="12"/>
      <c r="O24" s="113"/>
      <c r="P24" s="113"/>
      <c r="Q24" s="734"/>
      <c r="R24" s="83"/>
      <c r="S24" s="83"/>
      <c r="T24" s="735"/>
      <c r="U24" s="746"/>
      <c r="V24" s="83"/>
      <c r="W24" s="83"/>
      <c r="X24" s="747"/>
      <c r="Y24" s="81"/>
      <c r="Z24" s="129"/>
      <c r="AA24" s="12"/>
      <c r="AB24" s="113"/>
      <c r="AC24" s="584"/>
      <c r="AD24" s="170" t="s">
        <v>378</v>
      </c>
      <c r="AE24" s="571" t="str">
        <f>IF(Data!C180="Ei jäykisteitä","-",Data!D244)</f>
        <v>-</v>
      </c>
      <c r="AF24" s="171"/>
      <c r="AG24" s="559" t="s">
        <v>384</v>
      </c>
      <c r="AH24" s="55"/>
      <c r="AI24" s="55"/>
      <c r="AJ24" s="55"/>
      <c r="AK24" s="55"/>
      <c r="AL24" s="581"/>
      <c r="AM24" s="129"/>
      <c r="AN24" s="12"/>
      <c r="AO24" s="94"/>
      <c r="AP24" s="94"/>
      <c r="AQ24" s="19"/>
      <c r="AR24" s="650"/>
      <c r="AS24" s="19"/>
      <c r="AT24" s="19"/>
      <c r="AU24" s="18"/>
      <c r="AV24" s="18"/>
      <c r="AW24" s="15"/>
      <c r="AX24" s="94"/>
      <c r="AY24" s="94"/>
      <c r="AZ24" s="94"/>
      <c r="BA24" s="94"/>
      <c r="BB24" s="94"/>
    </row>
    <row r="25" spans="2:54" ht="12.75" customHeight="1">
      <c r="B25" s="113"/>
      <c r="C25" s="113"/>
      <c r="D25" s="170">
        <f>IF(OR(Data!C108="Liittorakenne palkin kanssa (liimaliitos)",Data!C108="ei liittorakennetta"),"","Liitinjako")</f>
      </c>
      <c r="E25" s="55"/>
      <c r="F25" s="55"/>
      <c r="G25" s="55"/>
      <c r="H25" s="55"/>
      <c r="I25" s="55"/>
      <c r="J25" s="55"/>
      <c r="K25" s="55"/>
      <c r="L25" s="81"/>
      <c r="M25" s="129"/>
      <c r="N25" s="12"/>
      <c r="O25" s="113"/>
      <c r="P25" s="113"/>
      <c r="Q25" s="734"/>
      <c r="R25" s="83"/>
      <c r="S25" s="83"/>
      <c r="T25" s="735"/>
      <c r="U25" s="746"/>
      <c r="V25" s="83"/>
      <c r="W25" s="83"/>
      <c r="X25" s="747"/>
      <c r="Y25" s="81"/>
      <c r="Z25" s="129"/>
      <c r="AA25" s="12"/>
      <c r="AB25" s="113"/>
      <c r="AC25" s="582"/>
      <c r="AD25" s="174" t="s">
        <v>58</v>
      </c>
      <c r="AE25" s="571" t="str">
        <f>IF(Data!C180="Ei jäykisteitä","-",IF(Data!C108="Ei liittorakennetta",Data!Q226,Data!D248))</f>
        <v>-</v>
      </c>
      <c r="AF25" s="170" t="s">
        <v>0</v>
      </c>
      <c r="AG25" s="559" t="str">
        <f>IF(Data!C108="Ei liittorakennetta","Etäisyys jäykisteen n-akselista laudan painopisteeseen (liittorakenne)","Etäisyys jäykisteen n-akselista levyn painopisteeseen (liittorakenne)")</f>
        <v>Etäisyys jäykisteen n-akselista levyn painopisteeseen (liittorakenne)</v>
      </c>
      <c r="AH25" s="55"/>
      <c r="AI25" s="55"/>
      <c r="AJ25" s="55"/>
      <c r="AK25" s="55"/>
      <c r="AL25" s="583"/>
      <c r="AM25" s="129"/>
      <c r="AN25" s="12"/>
      <c r="AO25" s="94"/>
      <c r="AP25" s="94"/>
      <c r="AQ25" s="650"/>
      <c r="AR25" s="650"/>
      <c r="AS25" s="498"/>
      <c r="AT25" s="650"/>
      <c r="AU25" s="18"/>
      <c r="AV25" s="18"/>
      <c r="AW25" s="15"/>
      <c r="AX25" s="94"/>
      <c r="AY25" s="94"/>
      <c r="AZ25" s="94"/>
      <c r="BA25" s="94"/>
      <c r="BB25" s="94"/>
    </row>
    <row r="26" spans="2:54" ht="12.75" customHeight="1">
      <c r="B26" s="113"/>
      <c r="C26" s="113"/>
      <c r="D26" s="55"/>
      <c r="E26" s="55"/>
      <c r="F26" s="55"/>
      <c r="G26" s="55"/>
      <c r="H26" s="55"/>
      <c r="I26" s="55"/>
      <c r="J26" s="83"/>
      <c r="K26" s="83"/>
      <c r="L26" s="81"/>
      <c r="M26" s="129"/>
      <c r="N26" s="12"/>
      <c r="O26" s="113"/>
      <c r="P26" s="113"/>
      <c r="Q26" s="734"/>
      <c r="R26" s="83"/>
      <c r="S26" s="83"/>
      <c r="T26" s="735"/>
      <c r="U26" s="746"/>
      <c r="V26" s="83"/>
      <c r="W26" s="83"/>
      <c r="X26" s="747"/>
      <c r="Y26" s="81"/>
      <c r="Z26" s="129"/>
      <c r="AA26" s="12"/>
      <c r="AB26" s="113"/>
      <c r="AC26" s="584"/>
      <c r="AD26" s="174" t="s">
        <v>72</v>
      </c>
      <c r="AE26" s="571" t="str">
        <f>IF(Data!C180="Ei jäykisteitä","-",IF(Data!C108="Ei liittorakennetta",Data!Q227,Data!D249))</f>
        <v>-</v>
      </c>
      <c r="AF26" s="170" t="s">
        <v>0</v>
      </c>
      <c r="AG26" s="559" t="s">
        <v>459</v>
      </c>
      <c r="AH26" s="55"/>
      <c r="AI26" s="55"/>
      <c r="AJ26" s="55"/>
      <c r="AK26" s="55"/>
      <c r="AL26" s="583"/>
      <c r="AM26" s="129"/>
      <c r="AN26" s="12"/>
      <c r="AO26" s="94"/>
      <c r="AP26" s="94"/>
      <c r="AQ26" s="650"/>
      <c r="AR26" s="15"/>
      <c r="AS26" s="15"/>
      <c r="AT26" s="15"/>
      <c r="AU26" s="15"/>
      <c r="AV26" s="15"/>
      <c r="AW26" s="15"/>
      <c r="AX26" s="94"/>
      <c r="AY26" s="94"/>
      <c r="AZ26" s="94"/>
      <c r="BA26" s="94"/>
      <c r="BB26" s="94"/>
    </row>
    <row r="27" spans="2:54" ht="12.75" customHeight="1">
      <c r="B27" s="113"/>
      <c r="C27" s="113"/>
      <c r="D27" s="170" t="str">
        <f>IF(Data!C108="Ei liittorakennetta","",IF(Data!B108=3,"Liimaustyön suoritus",""))</f>
        <v>Liimaustyön suoritus</v>
      </c>
      <c r="E27" s="83"/>
      <c r="F27" s="55"/>
      <c r="G27" s="55"/>
      <c r="H27" s="83"/>
      <c r="I27" s="41"/>
      <c r="J27" s="83"/>
      <c r="K27" s="83"/>
      <c r="L27" s="81"/>
      <c r="M27" s="129"/>
      <c r="N27" s="12"/>
      <c r="O27" s="113"/>
      <c r="P27" s="113"/>
      <c r="Q27" s="734"/>
      <c r="R27" s="83"/>
      <c r="S27" s="83"/>
      <c r="T27" s="735"/>
      <c r="U27" s="746"/>
      <c r="V27" s="83"/>
      <c r="W27" s="83"/>
      <c r="X27" s="747"/>
      <c r="Y27" s="81"/>
      <c r="Z27" s="129"/>
      <c r="AA27" s="12"/>
      <c r="AB27" s="113"/>
      <c r="AC27" s="584"/>
      <c r="AD27" s="55"/>
      <c r="AE27" s="55"/>
      <c r="AF27" s="55"/>
      <c r="AG27" s="55"/>
      <c r="AH27" s="55"/>
      <c r="AI27" s="55"/>
      <c r="AJ27" s="55"/>
      <c r="AK27" s="55"/>
      <c r="AL27" s="583"/>
      <c r="AM27" s="129"/>
      <c r="AN27" s="12"/>
      <c r="AO27" s="94"/>
      <c r="AP27" s="94"/>
      <c r="AQ27" s="650"/>
      <c r="AR27" s="15"/>
      <c r="AS27" s="15"/>
      <c r="AT27" s="15"/>
      <c r="AU27" s="15"/>
      <c r="AV27" s="15"/>
      <c r="AW27" s="15"/>
      <c r="AX27" s="94"/>
      <c r="AY27" s="94"/>
      <c r="AZ27" s="94"/>
      <c r="BA27" s="94"/>
      <c r="BB27" s="94"/>
    </row>
    <row r="28" spans="2:54" ht="12.75" customHeight="1">
      <c r="B28" s="113"/>
      <c r="C28" s="113"/>
      <c r="D28" s="55"/>
      <c r="E28" s="55"/>
      <c r="F28" s="55"/>
      <c r="G28" s="55"/>
      <c r="H28" s="55"/>
      <c r="I28" s="170"/>
      <c r="J28" s="83"/>
      <c r="K28" s="83"/>
      <c r="L28" s="81"/>
      <c r="M28" s="129"/>
      <c r="N28" s="12"/>
      <c r="O28" s="113"/>
      <c r="P28" s="113"/>
      <c r="Q28" s="734"/>
      <c r="R28" s="83"/>
      <c r="S28" s="83"/>
      <c r="T28" s="735"/>
      <c r="U28" s="746"/>
      <c r="V28" s="83"/>
      <c r="W28" s="83"/>
      <c r="X28" s="747"/>
      <c r="Y28" s="81"/>
      <c r="Z28" s="129"/>
      <c r="AA28" s="12"/>
      <c r="AB28" s="113"/>
      <c r="AC28" s="584"/>
      <c r="AD28" s="562" t="s">
        <v>469</v>
      </c>
      <c r="AE28" s="564"/>
      <c r="AF28" s="564"/>
      <c r="AG28" s="578"/>
      <c r="AH28" s="564"/>
      <c r="AI28" s="564"/>
      <c r="AJ28" s="564"/>
      <c r="AK28" s="564"/>
      <c r="AL28" s="583"/>
      <c r="AM28" s="129"/>
      <c r="AN28" s="12"/>
      <c r="AO28" s="94"/>
      <c r="AP28" s="94"/>
      <c r="AQ28" s="19"/>
      <c r="AR28" s="19"/>
      <c r="AS28" s="19"/>
      <c r="AT28" s="19"/>
      <c r="AU28" s="15"/>
      <c r="AV28" s="15"/>
      <c r="AW28" s="15"/>
      <c r="AX28" s="94"/>
      <c r="AY28" s="94"/>
      <c r="AZ28" s="94"/>
      <c r="BA28" s="94"/>
      <c r="BB28" s="94"/>
    </row>
    <row r="29" spans="2:54" ht="12.75" customHeight="1">
      <c r="B29" s="113"/>
      <c r="C29" s="113"/>
      <c r="D29" s="35" t="s">
        <v>4</v>
      </c>
      <c r="E29" s="55"/>
      <c r="F29" s="55"/>
      <c r="G29" s="55"/>
      <c r="H29" s="55"/>
      <c r="I29" s="41"/>
      <c r="J29" s="83"/>
      <c r="K29" s="83"/>
      <c r="L29" s="81"/>
      <c r="M29" s="129"/>
      <c r="N29" s="12"/>
      <c r="O29" s="113"/>
      <c r="P29" s="113"/>
      <c r="Q29" s="734"/>
      <c r="R29" s="83"/>
      <c r="S29" s="83"/>
      <c r="T29" s="735"/>
      <c r="U29" s="746"/>
      <c r="V29" s="83"/>
      <c r="W29" s="83"/>
      <c r="X29" s="747"/>
      <c r="Y29" s="81"/>
      <c r="Z29" s="129"/>
      <c r="AA29" s="12"/>
      <c r="AB29" s="113"/>
      <c r="AC29" s="584"/>
      <c r="AD29" s="174" t="s">
        <v>38</v>
      </c>
      <c r="AE29" s="718">
        <f>H36</f>
        <v>5000</v>
      </c>
      <c r="AF29" s="570" t="s">
        <v>0</v>
      </c>
      <c r="AG29" s="559" t="s">
        <v>455</v>
      </c>
      <c r="AH29" s="55"/>
      <c r="AI29" s="55"/>
      <c r="AJ29" s="55"/>
      <c r="AK29" s="55"/>
      <c r="AL29" s="581"/>
      <c r="AM29" s="129"/>
      <c r="AN29" s="12"/>
      <c r="AO29" s="94"/>
      <c r="AP29" s="94"/>
      <c r="AQ29" s="18"/>
      <c r="AR29" s="19"/>
      <c r="AS29" s="19"/>
      <c r="AT29" s="19"/>
      <c r="AU29" s="15"/>
      <c r="AV29" s="651"/>
      <c r="AW29" s="15"/>
      <c r="AX29" s="94"/>
      <c r="AY29" s="94"/>
      <c r="AZ29" s="94"/>
      <c r="BA29" s="94"/>
      <c r="BB29" s="94"/>
    </row>
    <row r="30" spans="2:54" ht="12.75" customHeight="1">
      <c r="B30" s="113"/>
      <c r="C30" s="113"/>
      <c r="D30" s="55"/>
      <c r="E30" s="55"/>
      <c r="F30" s="55"/>
      <c r="G30" s="55"/>
      <c r="H30" s="55"/>
      <c r="I30" s="55"/>
      <c r="J30" s="83"/>
      <c r="K30" s="83"/>
      <c r="L30" s="81"/>
      <c r="M30" s="129"/>
      <c r="N30" s="12"/>
      <c r="O30" s="113"/>
      <c r="P30" s="113"/>
      <c r="Q30" s="734"/>
      <c r="R30" s="83"/>
      <c r="S30" s="83"/>
      <c r="T30" s="735"/>
      <c r="U30" s="746"/>
      <c r="V30" s="83"/>
      <c r="W30" s="83"/>
      <c r="X30" s="747"/>
      <c r="Y30" s="81"/>
      <c r="Z30" s="129"/>
      <c r="AA30" s="12"/>
      <c r="AB30" s="113"/>
      <c r="AC30" s="582"/>
      <c r="AD30" s="35" t="s">
        <v>365</v>
      </c>
      <c r="AE30" s="573">
        <f>IF(Data!C60="Ei pintalaattaa","-",Data!D260)</f>
        <v>360000</v>
      </c>
      <c r="AF30" s="570" t="s">
        <v>341</v>
      </c>
      <c r="AG30" s="559" t="s">
        <v>462</v>
      </c>
      <c r="AH30" s="561"/>
      <c r="AI30" s="560"/>
      <c r="AJ30" s="560"/>
      <c r="AK30" s="560"/>
      <c r="AL30" s="581"/>
      <c r="AM30" s="129"/>
      <c r="AN30" s="12"/>
      <c r="AO30" s="94"/>
      <c r="AP30" s="94"/>
      <c r="AQ30" s="18"/>
      <c r="AR30" s="19"/>
      <c r="AS30" s="19"/>
      <c r="AT30" s="19"/>
      <c r="AU30" s="18"/>
      <c r="AV30" s="18"/>
      <c r="AW30" s="15"/>
      <c r="AX30" s="94"/>
      <c r="AY30" s="94"/>
      <c r="AZ30" s="94"/>
      <c r="BA30" s="94"/>
      <c r="BB30" s="94"/>
    </row>
    <row r="31" spans="2:54" ht="12.75" customHeight="1">
      <c r="B31" s="113"/>
      <c r="C31" s="113"/>
      <c r="D31" s="170" t="s">
        <v>422</v>
      </c>
      <c r="E31" s="55"/>
      <c r="F31" s="55"/>
      <c r="G31" s="55"/>
      <c r="H31" s="55"/>
      <c r="I31" s="55"/>
      <c r="J31" s="83"/>
      <c r="K31" s="83"/>
      <c r="L31" s="81"/>
      <c r="M31" s="129"/>
      <c r="N31" s="12"/>
      <c r="O31" s="113"/>
      <c r="P31" s="113"/>
      <c r="Q31" s="734"/>
      <c r="R31" s="83"/>
      <c r="S31" s="83"/>
      <c r="T31" s="735"/>
      <c r="U31" s="746"/>
      <c r="V31" s="83"/>
      <c r="W31" s="83"/>
      <c r="X31" s="747"/>
      <c r="Y31" s="81"/>
      <c r="Z31" s="129"/>
      <c r="AA31" s="12"/>
      <c r="AB31" s="113"/>
      <c r="AC31" s="582"/>
      <c r="AD31" s="35" t="s">
        <v>366</v>
      </c>
      <c r="AE31" s="573">
        <f>Data!D263</f>
        <v>5645568.372603522</v>
      </c>
      <c r="AF31" s="570" t="s">
        <v>341</v>
      </c>
      <c r="AG31" s="559" t="s">
        <v>463</v>
      </c>
      <c r="AH31" s="570"/>
      <c r="AI31" s="585"/>
      <c r="AJ31" s="558"/>
      <c r="AK31" s="558"/>
      <c r="AL31" s="581"/>
      <c r="AM31" s="129"/>
      <c r="AN31" s="12"/>
      <c r="AO31" s="94"/>
      <c r="AP31" s="94"/>
      <c r="AQ31" s="19"/>
      <c r="AR31" s="19"/>
      <c r="AS31" s="97"/>
      <c r="AT31" s="19"/>
      <c r="AU31" s="18"/>
      <c r="AV31" s="18"/>
      <c r="AW31" s="15"/>
      <c r="AX31" s="94"/>
      <c r="AY31" s="94"/>
      <c r="AZ31" s="94"/>
      <c r="BA31" s="94"/>
      <c r="BB31" s="94"/>
    </row>
    <row r="32" spans="2:54" ht="12.75" customHeight="1">
      <c r="B32" s="113"/>
      <c r="C32" s="113"/>
      <c r="D32" s="55"/>
      <c r="E32" s="55"/>
      <c r="F32" s="55"/>
      <c r="G32" s="55"/>
      <c r="H32" s="55"/>
      <c r="I32" s="55"/>
      <c r="J32" s="55"/>
      <c r="K32" s="55"/>
      <c r="L32" s="81"/>
      <c r="M32" s="129"/>
      <c r="N32" s="12"/>
      <c r="O32" s="113"/>
      <c r="P32" s="113"/>
      <c r="Q32" s="734"/>
      <c r="R32" s="83"/>
      <c r="S32" s="83"/>
      <c r="T32" s="735"/>
      <c r="U32" s="746"/>
      <c r="V32" s="83"/>
      <c r="W32" s="83"/>
      <c r="X32" s="747"/>
      <c r="Y32" s="81"/>
      <c r="Z32" s="129"/>
      <c r="AA32" s="12"/>
      <c r="AB32" s="113"/>
      <c r="AC32" s="582"/>
      <c r="AD32" s="35" t="s">
        <v>96</v>
      </c>
      <c r="AE32" s="590">
        <f>Data!D275</f>
        <v>6005568.372603522</v>
      </c>
      <c r="AF32" s="570" t="s">
        <v>341</v>
      </c>
      <c r="AG32" s="559" t="s">
        <v>469</v>
      </c>
      <c r="AH32" s="570"/>
      <c r="AI32" s="558"/>
      <c r="AJ32" s="128"/>
      <c r="AK32" s="128"/>
      <c r="AL32" s="579"/>
      <c r="AM32" s="129"/>
      <c r="AN32" s="12"/>
      <c r="AO32" s="94"/>
      <c r="AP32" s="94"/>
      <c r="AQ32" s="24"/>
      <c r="AR32" s="19"/>
      <c r="AS32" s="652"/>
      <c r="AT32" s="19"/>
      <c r="AU32" s="18"/>
      <c r="AV32" s="18"/>
      <c r="AW32" s="15"/>
      <c r="AX32" s="94"/>
      <c r="AY32" s="94"/>
      <c r="AZ32" s="94"/>
      <c r="BA32" s="94"/>
      <c r="BB32" s="94"/>
    </row>
    <row r="33" spans="2:54" ht="12.75" customHeight="1">
      <c r="B33" s="113"/>
      <c r="C33" s="113"/>
      <c r="D33" s="170" t="s">
        <v>423</v>
      </c>
      <c r="E33" s="55"/>
      <c r="F33" s="83"/>
      <c r="G33" s="83"/>
      <c r="H33" s="83"/>
      <c r="I33" s="55"/>
      <c r="J33" s="55"/>
      <c r="K33" s="55"/>
      <c r="L33" s="81"/>
      <c r="M33" s="129"/>
      <c r="N33" s="12"/>
      <c r="O33" s="113"/>
      <c r="P33" s="113"/>
      <c r="Q33" s="738"/>
      <c r="R33" s="653"/>
      <c r="S33" s="83"/>
      <c r="T33" s="735"/>
      <c r="U33" s="750"/>
      <c r="V33" s="653"/>
      <c r="W33" s="83"/>
      <c r="X33" s="747"/>
      <c r="Y33" s="81"/>
      <c r="Z33" s="129"/>
      <c r="AA33" s="12"/>
      <c r="AB33" s="113"/>
      <c r="AC33" s="580"/>
      <c r="AD33" s="585"/>
      <c r="AE33" s="585"/>
      <c r="AF33" s="585"/>
      <c r="AG33" s="585"/>
      <c r="AH33" s="585"/>
      <c r="AI33" s="585"/>
      <c r="AJ33" s="585"/>
      <c r="AK33" s="585"/>
      <c r="AL33" s="581"/>
      <c r="AM33" s="129"/>
      <c r="AN33" s="12"/>
      <c r="AO33" s="94"/>
      <c r="AP33" s="94"/>
      <c r="AQ33" s="18"/>
      <c r="AR33" s="19"/>
      <c r="AS33" s="652"/>
      <c r="AT33" s="19"/>
      <c r="AU33" s="15"/>
      <c r="AV33" s="15"/>
      <c r="AW33" s="15"/>
      <c r="AX33" s="94"/>
      <c r="AY33" s="94"/>
      <c r="AZ33" s="94"/>
      <c r="BA33" s="94"/>
      <c r="BB33" s="94"/>
    </row>
    <row r="34" spans="2:54" ht="12.75" customHeight="1">
      <c r="B34" s="113"/>
      <c r="C34" s="113"/>
      <c r="D34" s="55"/>
      <c r="E34" s="55"/>
      <c r="F34" s="55"/>
      <c r="G34" s="55"/>
      <c r="H34" s="55"/>
      <c r="I34" s="55"/>
      <c r="J34" s="83"/>
      <c r="K34" s="83"/>
      <c r="L34" s="81"/>
      <c r="M34" s="129"/>
      <c r="N34" s="12"/>
      <c r="O34" s="113"/>
      <c r="P34" s="113"/>
      <c r="Q34" s="739"/>
      <c r="R34" s="186"/>
      <c r="S34" s="186"/>
      <c r="T34" s="740"/>
      <c r="U34" s="751"/>
      <c r="V34" s="83"/>
      <c r="W34" s="186"/>
      <c r="X34" s="752"/>
      <c r="Y34" s="81"/>
      <c r="Z34" s="129"/>
      <c r="AA34" s="12"/>
      <c r="AB34" s="113"/>
      <c r="AC34" s="582"/>
      <c r="AD34" s="562" t="s">
        <v>470</v>
      </c>
      <c r="AE34" s="564"/>
      <c r="AF34" s="564"/>
      <c r="AG34" s="564"/>
      <c r="AH34" s="564"/>
      <c r="AI34" s="564"/>
      <c r="AJ34" s="564"/>
      <c r="AK34" s="564"/>
      <c r="AL34" s="583"/>
      <c r="AM34" s="129"/>
      <c r="AN34" s="12"/>
      <c r="AO34" s="94"/>
      <c r="AP34" s="94"/>
      <c r="AQ34" s="15"/>
      <c r="AR34" s="15"/>
      <c r="AS34" s="15"/>
      <c r="AT34" s="15"/>
      <c r="AU34" s="15"/>
      <c r="AV34" s="15"/>
      <c r="AW34" s="15"/>
      <c r="AX34" s="94"/>
      <c r="AY34" s="94"/>
      <c r="AZ34" s="94"/>
      <c r="BA34" s="94"/>
      <c r="BB34" s="94"/>
    </row>
    <row r="35" spans="2:54" ht="12.75" customHeight="1">
      <c r="B35" s="113"/>
      <c r="C35" s="113"/>
      <c r="D35" s="170" t="s">
        <v>251</v>
      </c>
      <c r="E35" s="83"/>
      <c r="F35" s="605"/>
      <c r="G35" s="173" t="s">
        <v>248</v>
      </c>
      <c r="H35" s="424">
        <v>400</v>
      </c>
      <c r="I35" s="851" t="s">
        <v>34</v>
      </c>
      <c r="J35" s="852"/>
      <c r="K35" s="83"/>
      <c r="L35" s="81"/>
      <c r="M35" s="129"/>
      <c r="N35" s="12"/>
      <c r="O35" s="113"/>
      <c r="P35" s="113"/>
      <c r="Q35" s="741"/>
      <c r="R35" s="35"/>
      <c r="S35" s="35"/>
      <c r="T35" s="742"/>
      <c r="U35" s="753"/>
      <c r="V35" s="41"/>
      <c r="W35" s="41"/>
      <c r="X35" s="754"/>
      <c r="Y35" s="81"/>
      <c r="Z35" s="129"/>
      <c r="AA35" s="12"/>
      <c r="AB35" s="113"/>
      <c r="AC35" s="584"/>
      <c r="AD35" s="35" t="s">
        <v>83</v>
      </c>
      <c r="AE35" s="588">
        <f>Data!O265</f>
        <v>6000</v>
      </c>
      <c r="AF35" s="570" t="s">
        <v>0</v>
      </c>
      <c r="AG35" s="559" t="s">
        <v>454</v>
      </c>
      <c r="AH35" s="55"/>
      <c r="AI35" s="55"/>
      <c r="AJ35" s="561"/>
      <c r="AK35" s="561"/>
      <c r="AL35" s="583"/>
      <c r="AM35" s="129"/>
      <c r="AN35" s="12"/>
      <c r="AO35" s="94"/>
      <c r="AP35" s="94"/>
      <c r="AQ35" s="650"/>
      <c r="AR35" s="15"/>
      <c r="AS35" s="15"/>
      <c r="AT35" s="15"/>
      <c r="AU35" s="15"/>
      <c r="AV35" s="15"/>
      <c r="AW35" s="15"/>
      <c r="AX35" s="94"/>
      <c r="AY35" s="94"/>
      <c r="AZ35" s="94"/>
      <c r="BA35" s="94"/>
      <c r="BB35" s="94"/>
    </row>
    <row r="36" spans="2:54" ht="12.75" customHeight="1">
      <c r="B36" s="113"/>
      <c r="C36" s="113"/>
      <c r="D36" s="170" t="s">
        <v>252</v>
      </c>
      <c r="E36" s="83"/>
      <c r="F36" s="55"/>
      <c r="G36" s="173" t="s">
        <v>247</v>
      </c>
      <c r="H36" s="424">
        <v>5000</v>
      </c>
      <c r="I36" s="55"/>
      <c r="J36" s="55"/>
      <c r="K36" s="55"/>
      <c r="L36" s="81"/>
      <c r="M36" s="129"/>
      <c r="N36" s="12"/>
      <c r="O36" s="113"/>
      <c r="P36" s="113"/>
      <c r="Q36" s="734"/>
      <c r="R36" s="83"/>
      <c r="S36" s="83"/>
      <c r="T36" s="735"/>
      <c r="U36" s="746"/>
      <c r="V36" s="183"/>
      <c r="W36" s="83"/>
      <c r="X36" s="747"/>
      <c r="Y36" s="81"/>
      <c r="Z36" s="129"/>
      <c r="AA36" s="12"/>
      <c r="AB36" s="113"/>
      <c r="AC36" s="584"/>
      <c r="AD36" s="35" t="s">
        <v>367</v>
      </c>
      <c r="AE36" s="573">
        <f>IF(Data!C60="Ei pintalaattaa","-",Data!I265)</f>
        <v>360000</v>
      </c>
      <c r="AF36" s="570" t="s">
        <v>341</v>
      </c>
      <c r="AG36" s="559" t="s">
        <v>465</v>
      </c>
      <c r="AH36" s="561"/>
      <c r="AI36" s="561"/>
      <c r="AJ36" s="561"/>
      <c r="AK36" s="561"/>
      <c r="AL36" s="583"/>
      <c r="AM36" s="129"/>
      <c r="AN36" s="12"/>
      <c r="AO36" s="94"/>
      <c r="AP36" s="94"/>
      <c r="AQ36" s="650"/>
      <c r="AR36" s="15"/>
      <c r="AS36" s="15"/>
      <c r="AT36" s="15"/>
      <c r="AU36" s="15"/>
      <c r="AV36" s="15"/>
      <c r="AW36" s="15"/>
      <c r="AX36" s="94"/>
      <c r="AY36" s="94"/>
      <c r="AZ36" s="94"/>
      <c r="BA36" s="94"/>
      <c r="BB36" s="94"/>
    </row>
    <row r="37" spans="2:54" ht="12.75" customHeight="1">
      <c r="B37" s="113"/>
      <c r="C37" s="113"/>
      <c r="D37" s="171" t="str">
        <f>IF(F74=1,"Elementtirakenteisen välipohjan leveys","Paikalla rakennetun välipohjan leveys")</f>
        <v>Elementtirakenteisen välipohjan leveys</v>
      </c>
      <c r="E37" s="55"/>
      <c r="F37" s="55"/>
      <c r="G37" s="173" t="s">
        <v>267</v>
      </c>
      <c r="H37" s="424">
        <v>6000</v>
      </c>
      <c r="I37" s="849" t="str">
        <f>IF(Data!J5=1,"==&gt; Elementin leveys  b =","")</f>
        <v>==&gt; Elementin leveys  b =</v>
      </c>
      <c r="J37" s="850"/>
      <c r="K37" s="424">
        <v>2500</v>
      </c>
      <c r="L37" s="81"/>
      <c r="M37" s="129"/>
      <c r="N37" s="15"/>
      <c r="O37" s="113"/>
      <c r="P37" s="113"/>
      <c r="Q37" s="734"/>
      <c r="R37" s="83"/>
      <c r="S37" s="83"/>
      <c r="T37" s="735"/>
      <c r="U37" s="746"/>
      <c r="V37" s="183"/>
      <c r="W37" s="83"/>
      <c r="X37" s="747"/>
      <c r="Y37" s="81"/>
      <c r="Z37" s="129"/>
      <c r="AA37" s="12"/>
      <c r="AB37" s="113"/>
      <c r="AC37" s="584"/>
      <c r="AD37" s="35" t="s">
        <v>368</v>
      </c>
      <c r="AE37" s="573">
        <f>Data!K265</f>
        <v>0</v>
      </c>
      <c r="AF37" s="570" t="s">
        <v>341</v>
      </c>
      <c r="AG37" s="592" t="s">
        <v>466</v>
      </c>
      <c r="AH37" s="561"/>
      <c r="AI37" s="561"/>
      <c r="AJ37" s="561"/>
      <c r="AK37" s="561"/>
      <c r="AL37" s="579"/>
      <c r="AM37" s="129"/>
      <c r="AN37" s="12"/>
      <c r="AO37" s="94"/>
      <c r="AP37" s="94"/>
      <c r="AQ37" s="19"/>
      <c r="AR37" s="19"/>
      <c r="AS37" s="19"/>
      <c r="AT37" s="19"/>
      <c r="AU37" s="18"/>
      <c r="AV37" s="18"/>
      <c r="AW37" s="15"/>
      <c r="AX37" s="94"/>
      <c r="AY37" s="94"/>
      <c r="AZ37" s="94"/>
      <c r="BA37" s="94"/>
      <c r="BB37" s="94"/>
    </row>
    <row r="38" spans="2:54" ht="12.75" customHeight="1">
      <c r="B38" s="113"/>
      <c r="C38" s="113"/>
      <c r="D38" s="170" t="s">
        <v>45</v>
      </c>
      <c r="E38" s="55"/>
      <c r="F38" s="55"/>
      <c r="G38" s="55"/>
      <c r="H38" s="759">
        <v>6</v>
      </c>
      <c r="I38" s="55"/>
      <c r="J38" s="55"/>
      <c r="K38" s="55"/>
      <c r="L38" s="81"/>
      <c r="M38" s="129"/>
      <c r="N38" s="12"/>
      <c r="O38" s="113"/>
      <c r="P38" s="113"/>
      <c r="Q38" s="734"/>
      <c r="R38" s="83"/>
      <c r="S38" s="83"/>
      <c r="T38" s="735"/>
      <c r="U38" s="746"/>
      <c r="V38" s="183"/>
      <c r="W38" s="83"/>
      <c r="X38" s="747"/>
      <c r="Y38" s="81"/>
      <c r="Z38" s="129"/>
      <c r="AA38" s="12"/>
      <c r="AB38" s="113"/>
      <c r="AC38" s="580"/>
      <c r="AD38" s="35" t="s">
        <v>369</v>
      </c>
      <c r="AE38" s="590" t="str">
        <f>IF(Data!C180="Ei jäykisteitä","-",Data!M265)</f>
        <v>-</v>
      </c>
      <c r="AF38" s="570" t="s">
        <v>341</v>
      </c>
      <c r="AG38" s="559" t="s">
        <v>467</v>
      </c>
      <c r="AH38" s="560"/>
      <c r="AI38" s="560"/>
      <c r="AJ38" s="560"/>
      <c r="AK38" s="560"/>
      <c r="AL38" s="581"/>
      <c r="AM38" s="129"/>
      <c r="AN38" s="12"/>
      <c r="AO38" s="94"/>
      <c r="AP38" s="94"/>
      <c r="AQ38" s="19"/>
      <c r="AR38" s="19"/>
      <c r="AS38" s="19"/>
      <c r="AT38" s="19"/>
      <c r="AU38" s="18"/>
      <c r="AV38" s="18"/>
      <c r="AW38" s="15"/>
      <c r="AX38" s="94"/>
      <c r="AY38" s="94"/>
      <c r="AZ38" s="94"/>
      <c r="BA38" s="94"/>
      <c r="BB38" s="94"/>
    </row>
    <row r="39" spans="2:54" ht="12.75" customHeight="1">
      <c r="B39" s="113"/>
      <c r="C39" s="176"/>
      <c r="D39" s="55"/>
      <c r="E39" s="55"/>
      <c r="F39" s="55"/>
      <c r="G39" s="173"/>
      <c r="H39" s="55"/>
      <c r="I39" s="170"/>
      <c r="J39" s="55"/>
      <c r="K39" s="55"/>
      <c r="L39" s="81"/>
      <c r="M39" s="129"/>
      <c r="N39" s="12"/>
      <c r="O39" s="113"/>
      <c r="P39" s="176"/>
      <c r="Q39" s="734"/>
      <c r="R39" s="83"/>
      <c r="S39" s="83"/>
      <c r="T39" s="735"/>
      <c r="U39" s="746"/>
      <c r="V39" s="183"/>
      <c r="W39" s="83"/>
      <c r="X39" s="747"/>
      <c r="Y39" s="81"/>
      <c r="Z39" s="129"/>
      <c r="AA39" s="12"/>
      <c r="AB39" s="113"/>
      <c r="AC39" s="591"/>
      <c r="AD39" s="35" t="s">
        <v>97</v>
      </c>
      <c r="AE39" s="590">
        <f>Data!D276</f>
        <v>360000</v>
      </c>
      <c r="AF39" s="570" t="s">
        <v>341</v>
      </c>
      <c r="AG39" s="559" t="s">
        <v>470</v>
      </c>
      <c r="AH39" s="560"/>
      <c r="AI39" s="560"/>
      <c r="AJ39" s="55"/>
      <c r="AK39" s="55"/>
      <c r="AL39" s="581"/>
      <c r="AM39" s="129"/>
      <c r="AN39" s="12"/>
      <c r="AO39" s="94"/>
      <c r="AP39" s="94"/>
      <c r="AQ39" s="18"/>
      <c r="AR39" s="19"/>
      <c r="AS39" s="21"/>
      <c r="AT39" s="19"/>
      <c r="AU39" s="18"/>
      <c r="AV39" s="18"/>
      <c r="AW39" s="15"/>
      <c r="AX39" s="94"/>
      <c r="AY39" s="94"/>
      <c r="AZ39" s="94"/>
      <c r="BA39" s="94"/>
      <c r="BB39" s="94"/>
    </row>
    <row r="40" spans="2:54" ht="12.75" customHeight="1" thickBot="1">
      <c r="B40" s="113"/>
      <c r="C40" s="176"/>
      <c r="D40" s="332" t="s">
        <v>250</v>
      </c>
      <c r="E40" s="333"/>
      <c r="F40" s="333"/>
      <c r="G40" s="333"/>
      <c r="H40" s="333"/>
      <c r="I40" s="333"/>
      <c r="J40" s="333"/>
      <c r="K40" s="334"/>
      <c r="L40" s="81"/>
      <c r="M40" s="129"/>
      <c r="N40" s="12"/>
      <c r="O40" s="113"/>
      <c r="P40" s="176"/>
      <c r="Q40" s="743"/>
      <c r="R40" s="744"/>
      <c r="S40" s="744"/>
      <c r="T40" s="745"/>
      <c r="U40" s="755"/>
      <c r="V40" s="756"/>
      <c r="W40" s="744"/>
      <c r="X40" s="757"/>
      <c r="Y40" s="81"/>
      <c r="Z40" s="129"/>
      <c r="AA40" s="12"/>
      <c r="AB40" s="113"/>
      <c r="AC40" s="591"/>
      <c r="AD40" s="55"/>
      <c r="AE40" s="55"/>
      <c r="AF40" s="55"/>
      <c r="AG40" s="55"/>
      <c r="AH40" s="55"/>
      <c r="AI40" s="55"/>
      <c r="AJ40" s="55"/>
      <c r="AK40" s="55"/>
      <c r="AL40" s="581"/>
      <c r="AM40" s="129"/>
      <c r="AN40" s="12"/>
      <c r="AO40" s="94"/>
      <c r="AP40" s="94"/>
      <c r="AQ40" s="19"/>
      <c r="AR40" s="19"/>
      <c r="AS40" s="21"/>
      <c r="AT40" s="19"/>
      <c r="AU40" s="18"/>
      <c r="AV40" s="18"/>
      <c r="AW40" s="15"/>
      <c r="AX40" s="94"/>
      <c r="AY40" s="94"/>
      <c r="AZ40" s="94"/>
      <c r="BA40" s="94"/>
      <c r="BB40" s="94"/>
    </row>
    <row r="41" spans="2:54" ht="12.75" customHeight="1" thickTop="1">
      <c r="B41" s="113"/>
      <c r="C41" s="176"/>
      <c r="D41" s="55"/>
      <c r="E41" s="55"/>
      <c r="F41" s="55"/>
      <c r="G41" s="55"/>
      <c r="H41" s="55"/>
      <c r="I41" s="55"/>
      <c r="J41" s="55"/>
      <c r="K41" s="55"/>
      <c r="L41" s="81"/>
      <c r="M41" s="129"/>
      <c r="N41" s="12"/>
      <c r="O41" s="113"/>
      <c r="P41" s="176"/>
      <c r="Q41" s="55"/>
      <c r="R41" s="55"/>
      <c r="S41" s="55"/>
      <c r="T41" s="55"/>
      <c r="U41" s="55"/>
      <c r="V41" s="184"/>
      <c r="W41" s="55"/>
      <c r="X41" s="55"/>
      <c r="Y41" s="81"/>
      <c r="Z41" s="129"/>
      <c r="AA41" s="12"/>
      <c r="AB41" s="113"/>
      <c r="AC41" s="591"/>
      <c r="AD41" s="168" t="s">
        <v>65</v>
      </c>
      <c r="AE41" s="185"/>
      <c r="AF41" s="185"/>
      <c r="AG41" s="185"/>
      <c r="AH41" s="185"/>
      <c r="AI41" s="185"/>
      <c r="AJ41" s="169"/>
      <c r="AK41" s="169"/>
      <c r="AL41" s="581"/>
      <c r="AM41" s="129"/>
      <c r="AN41" s="12"/>
      <c r="AO41" s="94"/>
      <c r="AP41" s="94"/>
      <c r="AQ41" s="24"/>
      <c r="AR41" s="19"/>
      <c r="AS41" s="654"/>
      <c r="AT41" s="19"/>
      <c r="AU41" s="18"/>
      <c r="AV41" s="607"/>
      <c r="AW41" s="15"/>
      <c r="AX41" s="94"/>
      <c r="AY41" s="94"/>
      <c r="AZ41" s="94"/>
      <c r="BA41" s="94"/>
      <c r="BB41" s="94"/>
    </row>
    <row r="42" spans="2:54" ht="12.75" customHeight="1">
      <c r="B42" s="113"/>
      <c r="C42" s="176"/>
      <c r="D42" s="170" t="str">
        <f>IF(Data!B60=1,"Pysyvä kuorma","Pysyvä kuorma ilman pintalaattaa")</f>
        <v>Pysyvä kuorma ilman pintalaattaa</v>
      </c>
      <c r="E42" s="83"/>
      <c r="F42" s="83"/>
      <c r="G42" s="173" t="s">
        <v>302</v>
      </c>
      <c r="H42" s="426">
        <v>0.5</v>
      </c>
      <c r="I42" s="174"/>
      <c r="J42" s="55"/>
      <c r="K42" s="55"/>
      <c r="L42" s="81"/>
      <c r="M42" s="129"/>
      <c r="N42" s="12"/>
      <c r="O42" s="113"/>
      <c r="P42" s="176"/>
      <c r="Q42" s="55"/>
      <c r="R42" s="55"/>
      <c r="S42" s="55"/>
      <c r="T42" s="55"/>
      <c r="U42" s="55"/>
      <c r="V42" s="184"/>
      <c r="W42" s="55"/>
      <c r="X42" s="55"/>
      <c r="Y42" s="81"/>
      <c r="Z42" s="129"/>
      <c r="AA42" s="12"/>
      <c r="AB42" s="113"/>
      <c r="AC42" s="591"/>
      <c r="AD42" s="170" t="s">
        <v>335</v>
      </c>
      <c r="AE42" s="557">
        <f>Data!D291</f>
        <v>1</v>
      </c>
      <c r="AF42" s="558"/>
      <c r="AG42" s="559" t="s">
        <v>46</v>
      </c>
      <c r="AH42" s="560"/>
      <c r="AI42" s="560"/>
      <c r="AJ42" s="561"/>
      <c r="AK42" s="561"/>
      <c r="AL42" s="579"/>
      <c r="AM42" s="129"/>
      <c r="AN42" s="12"/>
      <c r="AO42" s="94"/>
      <c r="AP42" s="94"/>
      <c r="AQ42" s="18"/>
      <c r="AR42" s="19"/>
      <c r="AS42" s="652"/>
      <c r="AT42" s="19"/>
      <c r="AU42" s="15"/>
      <c r="AV42" s="607"/>
      <c r="AW42" s="15"/>
      <c r="AX42" s="94"/>
      <c r="AY42" s="94"/>
      <c r="AZ42" s="94"/>
      <c r="BA42" s="94"/>
      <c r="BB42" s="94"/>
    </row>
    <row r="43" spans="2:54" ht="12.75" customHeight="1">
      <c r="B43" s="113"/>
      <c r="C43" s="113"/>
      <c r="D43" s="174" t="s">
        <v>14</v>
      </c>
      <c r="E43" s="55"/>
      <c r="F43" s="55"/>
      <c r="G43" s="173" t="s">
        <v>302</v>
      </c>
      <c r="H43" s="655">
        <f>Data!K60*9.81/1000</f>
        <v>1.4715</v>
      </c>
      <c r="I43" s="175"/>
      <c r="J43" s="55"/>
      <c r="K43" s="55"/>
      <c r="L43" s="81"/>
      <c r="M43" s="129"/>
      <c r="N43" s="12"/>
      <c r="O43" s="113"/>
      <c r="P43" s="113"/>
      <c r="Q43" s="55"/>
      <c r="R43" s="55"/>
      <c r="S43" s="55"/>
      <c r="T43" s="55"/>
      <c r="U43" s="55"/>
      <c r="V43" s="184"/>
      <c r="W43" s="55"/>
      <c r="X43" s="55"/>
      <c r="Y43" s="81"/>
      <c r="Z43" s="129"/>
      <c r="AA43" s="12"/>
      <c r="AB43" s="113"/>
      <c r="AC43" s="580"/>
      <c r="AD43" s="35" t="s">
        <v>336</v>
      </c>
      <c r="AE43" s="557">
        <f>Data!D296</f>
        <v>0.4948084370771857</v>
      </c>
      <c r="AF43" s="558"/>
      <c r="AG43" s="559" t="s">
        <v>15</v>
      </c>
      <c r="AH43" s="560"/>
      <c r="AI43" s="561"/>
      <c r="AJ43" s="560"/>
      <c r="AK43" s="560"/>
      <c r="AL43" s="579"/>
      <c r="AM43" s="129"/>
      <c r="AN43" s="12"/>
      <c r="AO43" s="94"/>
      <c r="AP43" s="94"/>
      <c r="AQ43" s="15"/>
      <c r="AR43" s="15"/>
      <c r="AS43" s="15"/>
      <c r="AT43" s="15"/>
      <c r="AU43" s="15"/>
      <c r="AV43" s="15"/>
      <c r="AW43" s="15"/>
      <c r="AX43" s="94"/>
      <c r="AY43" s="94"/>
      <c r="AZ43" s="94"/>
      <c r="BA43" s="94"/>
      <c r="BB43" s="94"/>
    </row>
    <row r="44" spans="2:54" ht="12.75" customHeight="1">
      <c r="B44" s="113"/>
      <c r="C44" s="176"/>
      <c r="D44" s="35" t="s">
        <v>305</v>
      </c>
      <c r="E44" s="55"/>
      <c r="F44" s="55"/>
      <c r="G44" s="173" t="s">
        <v>477</v>
      </c>
      <c r="H44" s="656">
        <v>30</v>
      </c>
      <c r="I44" s="55"/>
      <c r="J44" s="170"/>
      <c r="K44" s="55"/>
      <c r="L44" s="81"/>
      <c r="M44" s="129"/>
      <c r="N44" s="12"/>
      <c r="O44" s="113"/>
      <c r="P44" s="176"/>
      <c r="Q44" s="55"/>
      <c r="R44" s="55"/>
      <c r="S44" s="55"/>
      <c r="T44" s="55"/>
      <c r="U44" s="55"/>
      <c r="V44" s="184"/>
      <c r="W44" s="55"/>
      <c r="X44" s="55"/>
      <c r="Y44" s="81"/>
      <c r="Z44" s="129"/>
      <c r="AA44" s="12"/>
      <c r="AB44" s="113"/>
      <c r="AC44" s="591"/>
      <c r="AD44" s="35" t="s">
        <v>337</v>
      </c>
      <c r="AE44" s="557">
        <f>Data!D293</f>
        <v>0.5</v>
      </c>
      <c r="AF44" s="170" t="s">
        <v>0</v>
      </c>
      <c r="AG44" s="559" t="s">
        <v>139</v>
      </c>
      <c r="AH44" s="560"/>
      <c r="AI44" s="560"/>
      <c r="AJ44" s="560"/>
      <c r="AK44" s="560"/>
      <c r="AL44" s="583"/>
      <c r="AM44" s="129"/>
      <c r="AN44" s="12"/>
      <c r="AO44" s="94"/>
      <c r="AP44" s="94"/>
      <c r="AQ44" s="650"/>
      <c r="AR44" s="19"/>
      <c r="AS44" s="19"/>
      <c r="AT44" s="15"/>
      <c r="AU44" s="15"/>
      <c r="AV44" s="15"/>
      <c r="AW44" s="15"/>
      <c r="AX44" s="94"/>
      <c r="AY44" s="94"/>
      <c r="AZ44" s="94"/>
      <c r="BA44" s="94"/>
      <c r="BB44" s="94"/>
    </row>
    <row r="45" spans="2:54" ht="12.75" customHeight="1">
      <c r="B45" s="113"/>
      <c r="C45" s="176"/>
      <c r="D45" s="55"/>
      <c r="E45" s="55"/>
      <c r="F45" s="55"/>
      <c r="G45" s="55"/>
      <c r="H45" s="55"/>
      <c r="I45" s="55"/>
      <c r="J45" s="170"/>
      <c r="K45" s="55"/>
      <c r="L45" s="81"/>
      <c r="M45" s="129"/>
      <c r="N45" s="12"/>
      <c r="O45" s="113"/>
      <c r="P45" s="176"/>
      <c r="Q45" s="562" t="s">
        <v>471</v>
      </c>
      <c r="R45" s="564"/>
      <c r="S45" s="564"/>
      <c r="T45" s="586"/>
      <c r="U45" s="587"/>
      <c r="V45" s="587"/>
      <c r="W45" s="587"/>
      <c r="X45" s="587"/>
      <c r="Y45" s="81"/>
      <c r="Z45" s="129"/>
      <c r="AA45" s="12"/>
      <c r="AB45" s="113"/>
      <c r="AC45" s="591"/>
      <c r="AD45" s="35" t="s">
        <v>339</v>
      </c>
      <c r="AE45" s="557">
        <f>Data!D298</f>
        <v>1.6445118036479218</v>
      </c>
      <c r="AF45" s="170" t="s">
        <v>0</v>
      </c>
      <c r="AG45" s="559" t="s">
        <v>66</v>
      </c>
      <c r="AH45" s="560"/>
      <c r="AI45" s="560"/>
      <c r="AJ45" s="560"/>
      <c r="AK45" s="560"/>
      <c r="AL45" s="583"/>
      <c r="AM45" s="129"/>
      <c r="AN45" s="12"/>
      <c r="AO45" s="94"/>
      <c r="AP45" s="94"/>
      <c r="AQ45" s="19"/>
      <c r="AR45" s="19"/>
      <c r="AS45" s="654"/>
      <c r="AT45" s="18"/>
      <c r="AU45" s="19"/>
      <c r="AV45" s="15"/>
      <c r="AW45" s="15"/>
      <c r="AX45" s="94"/>
      <c r="AY45" s="94"/>
      <c r="AZ45" s="94"/>
      <c r="BA45" s="94"/>
      <c r="BB45" s="94"/>
    </row>
    <row r="46" spans="2:54" ht="12.75" customHeight="1" thickBot="1">
      <c r="B46" s="113"/>
      <c r="C46" s="113"/>
      <c r="D46" s="332" t="s">
        <v>253</v>
      </c>
      <c r="E46" s="333"/>
      <c r="F46" s="333"/>
      <c r="G46" s="333"/>
      <c r="H46" s="333"/>
      <c r="I46" s="333"/>
      <c r="J46" s="333"/>
      <c r="K46" s="334"/>
      <c r="L46" s="81"/>
      <c r="M46" s="129"/>
      <c r="N46" s="12"/>
      <c r="O46" s="113"/>
      <c r="P46" s="113"/>
      <c r="Q46" s="170" t="s">
        <v>354</v>
      </c>
      <c r="R46" s="540">
        <f>Data!D95</f>
        <v>13800</v>
      </c>
      <c r="S46" s="570" t="s">
        <v>355</v>
      </c>
      <c r="T46" s="559" t="s">
        <v>137</v>
      </c>
      <c r="U46" s="570"/>
      <c r="V46" s="558"/>
      <c r="W46" s="558"/>
      <c r="X46" s="558"/>
      <c r="Y46" s="81"/>
      <c r="Z46" s="129"/>
      <c r="AA46" s="12"/>
      <c r="AB46" s="113"/>
      <c r="AC46" s="584"/>
      <c r="AD46" s="35" t="s">
        <v>338</v>
      </c>
      <c r="AE46" s="557">
        <f>Data!D297</f>
        <v>0.20030855881542228</v>
      </c>
      <c r="AF46" s="170" t="s">
        <v>0</v>
      </c>
      <c r="AG46" s="559" t="s">
        <v>65</v>
      </c>
      <c r="AH46" s="560"/>
      <c r="AI46" s="560"/>
      <c r="AJ46" s="560"/>
      <c r="AK46" s="560"/>
      <c r="AL46" s="583"/>
      <c r="AM46" s="129"/>
      <c r="AN46" s="12"/>
      <c r="AO46" s="94"/>
      <c r="AP46" s="94"/>
      <c r="AQ46" s="19"/>
      <c r="AR46" s="19"/>
      <c r="AS46" s="652"/>
      <c r="AT46" s="19"/>
      <c r="AU46" s="15"/>
      <c r="AV46" s="15"/>
      <c r="AW46" s="15"/>
      <c r="AX46" s="94"/>
      <c r="AY46" s="94"/>
      <c r="AZ46" s="94"/>
      <c r="BA46" s="94"/>
      <c r="BB46" s="94"/>
    </row>
    <row r="47" spans="2:54" ht="12.75" customHeight="1" thickTop="1">
      <c r="B47" s="113"/>
      <c r="C47" s="113"/>
      <c r="D47" s="491"/>
      <c r="E47" s="491"/>
      <c r="F47" s="491"/>
      <c r="G47" s="491"/>
      <c r="H47" s="491"/>
      <c r="I47" s="491"/>
      <c r="J47" s="491"/>
      <c r="K47" s="491"/>
      <c r="L47" s="81"/>
      <c r="M47" s="129"/>
      <c r="N47" s="12"/>
      <c r="O47" s="113"/>
      <c r="P47" s="113"/>
      <c r="Q47" s="35" t="s">
        <v>356</v>
      </c>
      <c r="R47" s="540">
        <f>Data!D96</f>
        <v>4238</v>
      </c>
      <c r="S47" s="570" t="s">
        <v>355</v>
      </c>
      <c r="T47" s="559" t="s">
        <v>345</v>
      </c>
      <c r="U47" s="570"/>
      <c r="V47" s="558"/>
      <c r="W47" s="558"/>
      <c r="X47" s="558"/>
      <c r="Y47" s="81"/>
      <c r="Z47" s="129"/>
      <c r="AA47" s="12"/>
      <c r="AB47" s="113"/>
      <c r="AC47" s="584"/>
      <c r="AD47" s="55"/>
      <c r="AE47" s="55"/>
      <c r="AF47" s="55"/>
      <c r="AG47" s="55"/>
      <c r="AH47" s="55"/>
      <c r="AI47" s="55"/>
      <c r="AJ47" s="55"/>
      <c r="AK47" s="531"/>
      <c r="AL47" s="583"/>
      <c r="AM47" s="129"/>
      <c r="AN47" s="12"/>
      <c r="AO47" s="94"/>
      <c r="AP47" s="94"/>
      <c r="AQ47" s="15"/>
      <c r="AR47" s="15"/>
      <c r="AS47" s="15"/>
      <c r="AT47" s="15"/>
      <c r="AU47" s="19"/>
      <c r="AV47" s="15"/>
      <c r="AW47" s="15"/>
      <c r="AX47" s="94"/>
      <c r="AY47" s="94"/>
      <c r="AZ47" s="94"/>
      <c r="BA47" s="94"/>
      <c r="BB47" s="94"/>
    </row>
    <row r="48" spans="2:54" ht="12.75" customHeight="1">
      <c r="B48" s="113"/>
      <c r="C48" s="113"/>
      <c r="D48" s="805" t="s">
        <v>143</v>
      </c>
      <c r="E48" s="806"/>
      <c r="F48" s="807" t="s">
        <v>309</v>
      </c>
      <c r="G48" s="845"/>
      <c r="H48" s="846"/>
      <c r="I48" s="810"/>
      <c r="J48" s="807" t="s">
        <v>307</v>
      </c>
      <c r="K48" s="806"/>
      <c r="L48" s="81"/>
      <c r="M48" s="129"/>
      <c r="N48" s="12"/>
      <c r="O48" s="113"/>
      <c r="P48" s="113"/>
      <c r="Q48" s="35" t="s">
        <v>358</v>
      </c>
      <c r="R48" s="588">
        <f>Data!D98</f>
        <v>3444</v>
      </c>
      <c r="S48" s="570" t="s">
        <v>355</v>
      </c>
      <c r="T48" s="559" t="s">
        <v>347</v>
      </c>
      <c r="U48" s="561"/>
      <c r="V48" s="561"/>
      <c r="W48" s="561"/>
      <c r="X48" s="561"/>
      <c r="Y48" s="81"/>
      <c r="Z48" s="129"/>
      <c r="AA48" s="12"/>
      <c r="AB48" s="113"/>
      <c r="AC48" s="584"/>
      <c r="AD48" s="562" t="s">
        <v>19</v>
      </c>
      <c r="AE48" s="563"/>
      <c r="AF48" s="564"/>
      <c r="AG48" s="564"/>
      <c r="AH48" s="564"/>
      <c r="AI48" s="564"/>
      <c r="AJ48" s="564"/>
      <c r="AK48" s="564"/>
      <c r="AL48" s="583"/>
      <c r="AM48" s="129"/>
      <c r="AN48" s="12"/>
      <c r="AO48" s="94"/>
      <c r="AP48" s="94"/>
      <c r="AQ48" s="650"/>
      <c r="AR48" s="19"/>
      <c r="AS48" s="19"/>
      <c r="AT48" s="15"/>
      <c r="AU48" s="19"/>
      <c r="AV48" s="15"/>
      <c r="AW48" s="15"/>
      <c r="AX48" s="94"/>
      <c r="AY48" s="94"/>
      <c r="AZ48" s="94"/>
      <c r="BA48" s="94"/>
      <c r="BB48" s="94"/>
    </row>
    <row r="49" spans="2:54" ht="12.75" customHeight="1">
      <c r="B49" s="113"/>
      <c r="C49" s="113"/>
      <c r="D49" s="802" t="s">
        <v>308</v>
      </c>
      <c r="E49" s="803"/>
      <c r="F49" s="808" t="str">
        <f>IF(Data!B60=1,"",Data!C60)</f>
        <v>Betonivalu - 60 - (E=20000 N/mm2)</v>
      </c>
      <c r="G49" s="809"/>
      <c r="H49" s="809"/>
      <c r="I49" s="810"/>
      <c r="J49" s="802" t="s">
        <v>306</v>
      </c>
      <c r="K49" s="803"/>
      <c r="L49" s="81"/>
      <c r="M49" s="129"/>
      <c r="N49" s="12"/>
      <c r="O49" s="113"/>
      <c r="P49" s="113"/>
      <c r="Q49" s="170" t="s">
        <v>359</v>
      </c>
      <c r="R49" s="540">
        <f>Data!D104</f>
        <v>15300</v>
      </c>
      <c r="S49" s="570" t="s">
        <v>360</v>
      </c>
      <c r="T49" s="559" t="s">
        <v>138</v>
      </c>
      <c r="U49" s="570"/>
      <c r="V49" s="585"/>
      <c r="W49" s="585"/>
      <c r="X49" s="585"/>
      <c r="Y49" s="81"/>
      <c r="Z49" s="129"/>
      <c r="AA49" s="12"/>
      <c r="AB49" s="113"/>
      <c r="AC49" s="584"/>
      <c r="AD49" s="35" t="s">
        <v>342</v>
      </c>
      <c r="AE49" s="557">
        <f>Data!D283</f>
        <v>200.9683995922528</v>
      </c>
      <c r="AF49" s="170" t="s">
        <v>343</v>
      </c>
      <c r="AG49" s="559" t="s">
        <v>95</v>
      </c>
      <c r="AH49" s="560"/>
      <c r="AI49" s="560"/>
      <c r="AJ49" s="560"/>
      <c r="AK49" s="560"/>
      <c r="AL49" s="583"/>
      <c r="AM49" s="129"/>
      <c r="AN49" s="12"/>
      <c r="AO49" s="94"/>
      <c r="AP49" s="94"/>
      <c r="AQ49" s="19"/>
      <c r="AR49" s="19"/>
      <c r="AS49" s="652"/>
      <c r="AT49" s="19"/>
      <c r="AU49" s="19"/>
      <c r="AV49" s="15"/>
      <c r="AW49" s="15"/>
      <c r="AX49" s="94"/>
      <c r="AY49" s="94"/>
      <c r="AZ49" s="94"/>
      <c r="BA49" s="94"/>
      <c r="BB49" s="94"/>
    </row>
    <row r="50" spans="2:54" ht="12.75" customHeight="1">
      <c r="B50" s="113"/>
      <c r="C50" s="113"/>
      <c r="D50" s="804"/>
      <c r="E50" s="803"/>
      <c r="F50" s="856" t="str">
        <f>IF(AE37=0,"Kansirakennetta ei huomioida",Data!C12)</f>
        <v>Kansirakennetta ei huomioida</v>
      </c>
      <c r="G50" s="857"/>
      <c r="H50" s="809"/>
      <c r="I50" s="810"/>
      <c r="J50" s="804"/>
      <c r="K50" s="803"/>
      <c r="L50" s="81"/>
      <c r="M50" s="129"/>
      <c r="N50" s="12"/>
      <c r="O50" s="113"/>
      <c r="P50" s="113"/>
      <c r="Q50" s="170" t="s">
        <v>361</v>
      </c>
      <c r="R50" s="589">
        <f>Data!D105</f>
        <v>114750000</v>
      </c>
      <c r="S50" s="570" t="s">
        <v>362</v>
      </c>
      <c r="T50" s="559" t="s">
        <v>348</v>
      </c>
      <c r="U50" s="570"/>
      <c r="V50" s="585"/>
      <c r="W50" s="558"/>
      <c r="X50" s="558"/>
      <c r="Y50" s="81"/>
      <c r="Z50" s="129"/>
      <c r="AA50" s="12"/>
      <c r="AB50" s="113"/>
      <c r="AC50" s="584"/>
      <c r="AD50" s="35" t="s">
        <v>344</v>
      </c>
      <c r="AE50" s="557">
        <f>Data!D284</f>
        <v>30</v>
      </c>
      <c r="AF50" s="170" t="s">
        <v>343</v>
      </c>
      <c r="AG50" s="568" t="s">
        <v>305</v>
      </c>
      <c r="AH50" s="560"/>
      <c r="AI50" s="560"/>
      <c r="AJ50" s="560"/>
      <c r="AK50" s="560"/>
      <c r="AL50" s="583"/>
      <c r="AM50" s="129"/>
      <c r="AN50" s="12"/>
      <c r="AO50" s="94"/>
      <c r="AP50" s="94"/>
      <c r="AQ50" s="19"/>
      <c r="AR50" s="19"/>
      <c r="AS50" s="652"/>
      <c r="AT50" s="19"/>
      <c r="AU50" s="15"/>
      <c r="AV50" s="15"/>
      <c r="AW50" s="15"/>
      <c r="AX50" s="94"/>
      <c r="AY50" s="94"/>
      <c r="AZ50" s="94"/>
      <c r="BA50" s="94"/>
      <c r="BB50" s="94"/>
    </row>
    <row r="51" spans="2:54" ht="12.75" customHeight="1">
      <c r="B51" s="113"/>
      <c r="C51" s="113"/>
      <c r="D51" s="855">
        <f>IF(D52="Tarkasta lähtötiedot","",Data!D287)</f>
        <v>10.131660850204062</v>
      </c>
      <c r="E51" s="806"/>
      <c r="F51" s="856" t="str">
        <f>IF(Data!C108="Ei liittorakennetta","",Data!C108)</f>
        <v>Liittorakenne palkin kanssa (liimaliitos)</v>
      </c>
      <c r="G51" s="861"/>
      <c r="H51" s="861"/>
      <c r="I51" s="862"/>
      <c r="J51" s="863">
        <f>IF(J52="Tarkasta lähtötiedot","",Data!D299)</f>
        <v>0.20030855881542228</v>
      </c>
      <c r="K51" s="806"/>
      <c r="L51" s="81"/>
      <c r="M51" s="129"/>
      <c r="N51" s="12"/>
      <c r="O51" s="113"/>
      <c r="P51" s="113"/>
      <c r="Q51" s="170" t="s">
        <v>380</v>
      </c>
      <c r="R51" s="540">
        <f>IF(Data!C108="Ei liittorakennetta","-",Data!D138)</f>
        <v>400</v>
      </c>
      <c r="S51" s="570" t="s">
        <v>35</v>
      </c>
      <c r="T51" s="559" t="s">
        <v>370</v>
      </c>
      <c r="U51" s="570"/>
      <c r="V51" s="558"/>
      <c r="W51" s="558"/>
      <c r="X51" s="558"/>
      <c r="Y51" s="81"/>
      <c r="Z51" s="129"/>
      <c r="AA51" s="12"/>
      <c r="AB51" s="113"/>
      <c r="AC51" s="584"/>
      <c r="AD51" s="35" t="s">
        <v>96</v>
      </c>
      <c r="AE51" s="573">
        <f>Data!D281</f>
        <v>6005568.372603522</v>
      </c>
      <c r="AF51" s="570" t="s">
        <v>341</v>
      </c>
      <c r="AG51" s="559" t="s">
        <v>464</v>
      </c>
      <c r="AH51" s="560"/>
      <c r="AI51" s="560"/>
      <c r="AJ51" s="560"/>
      <c r="AK51" s="560"/>
      <c r="AL51" s="583"/>
      <c r="AM51" s="129"/>
      <c r="AN51" s="12"/>
      <c r="AO51" s="94"/>
      <c r="AP51" s="94"/>
      <c r="AQ51" s="19"/>
      <c r="AR51" s="19"/>
      <c r="AS51" s="652"/>
      <c r="AT51" s="19"/>
      <c r="AU51" s="15"/>
      <c r="AV51" s="15"/>
      <c r="AW51" s="15"/>
      <c r="AX51" s="94"/>
      <c r="AY51" s="94"/>
      <c r="AZ51" s="94"/>
      <c r="BA51" s="94"/>
      <c r="BB51" s="94"/>
    </row>
    <row r="52" spans="2:54" ht="12.75" customHeight="1">
      <c r="B52" s="113"/>
      <c r="C52" s="113"/>
      <c r="D52" s="859">
        <f>IF(F71&gt;0,"Tarkasta lähtötiedot",9/Data!D287)</f>
        <v>0.8883045073324509</v>
      </c>
      <c r="E52" s="860"/>
      <c r="F52" s="554"/>
      <c r="G52" s="853" t="str">
        <f>IF(Data!C108="Liittorakenne palkin kanssa (puikkoliittimet)",Data!L105,IF(Data!C108="Liittorakenne palkin kanssa (liimaliitos)",Data!C115,""))</f>
        <v>Tehdasliimaus</v>
      </c>
      <c r="H52" s="857"/>
      <c r="I52" s="657">
        <f>IF(Data!C108="Liittorakenne palkin kanssa (puikkoliittimet)",Data!G112,"")</f>
      </c>
      <c r="J52" s="859">
        <f>IF(F71&gt;0,"Tarkasta lähtötiedot",Data!D299/Data!D293)</f>
        <v>0.40061711763084457</v>
      </c>
      <c r="K52" s="860"/>
      <c r="L52" s="81"/>
      <c r="M52" s="129"/>
      <c r="N52" s="12"/>
      <c r="O52" s="113"/>
      <c r="P52" s="113"/>
      <c r="Q52" s="170" t="s">
        <v>363</v>
      </c>
      <c r="R52" s="540">
        <f>IF(Data!C108="Ei liittorakennetta","-",Data!D141)</f>
        <v>7200</v>
      </c>
      <c r="S52" s="570" t="s">
        <v>360</v>
      </c>
      <c r="T52" s="559" t="s">
        <v>371</v>
      </c>
      <c r="U52" s="561"/>
      <c r="V52" s="560"/>
      <c r="W52" s="560"/>
      <c r="X52" s="560"/>
      <c r="Y52" s="81"/>
      <c r="Z52" s="129"/>
      <c r="AA52" s="12"/>
      <c r="AB52" s="113"/>
      <c r="AC52" s="584"/>
      <c r="AD52" s="35" t="s">
        <v>97</v>
      </c>
      <c r="AE52" s="573">
        <f>Data!D282</f>
        <v>360000</v>
      </c>
      <c r="AF52" s="570" t="s">
        <v>341</v>
      </c>
      <c r="AG52" s="559" t="s">
        <v>468</v>
      </c>
      <c r="AH52" s="560"/>
      <c r="AI52" s="560"/>
      <c r="AJ52" s="560"/>
      <c r="AK52" s="560"/>
      <c r="AL52" s="583"/>
      <c r="AM52" s="129"/>
      <c r="AN52" s="12"/>
      <c r="AO52" s="94"/>
      <c r="AP52" s="94"/>
      <c r="AQ52" s="15"/>
      <c r="AR52" s="15"/>
      <c r="AS52" s="15"/>
      <c r="AT52" s="15"/>
      <c r="AU52" s="15"/>
      <c r="AV52" s="15"/>
      <c r="AW52" s="15"/>
      <c r="AX52" s="94"/>
      <c r="AY52" s="94"/>
      <c r="AZ52" s="94"/>
      <c r="BA52" s="94"/>
      <c r="BB52" s="94"/>
    </row>
    <row r="53" spans="2:54" ht="12.75" customHeight="1">
      <c r="B53" s="113"/>
      <c r="C53" s="113"/>
      <c r="D53" s="554"/>
      <c r="E53" s="55"/>
      <c r="F53" s="856">
        <f>IF(AE38=0,"Poikittaisjäykisteitä ei huomioida",IF(Data!B180=1,"",Data!C180))</f>
      </c>
      <c r="G53" s="857"/>
      <c r="H53" s="857"/>
      <c r="I53" s="858"/>
      <c r="J53" s="55"/>
      <c r="K53" s="555"/>
      <c r="L53" s="81"/>
      <c r="M53" s="129"/>
      <c r="N53" s="12"/>
      <c r="O53" s="113"/>
      <c r="P53" s="113"/>
      <c r="Q53" s="170" t="s">
        <v>364</v>
      </c>
      <c r="R53" s="589">
        <f>IF(Data!C108="Ei liittorakennetta","-",Data!D142)</f>
        <v>194400</v>
      </c>
      <c r="S53" s="570" t="s">
        <v>362</v>
      </c>
      <c r="T53" s="559" t="s">
        <v>372</v>
      </c>
      <c r="U53" s="561"/>
      <c r="V53" s="561"/>
      <c r="W53" s="561"/>
      <c r="X53" s="561"/>
      <c r="Y53" s="81"/>
      <c r="Z53" s="129"/>
      <c r="AA53" s="12"/>
      <c r="AB53" s="113"/>
      <c r="AC53" s="584"/>
      <c r="AD53" s="35" t="s">
        <v>84</v>
      </c>
      <c r="AE53" s="572">
        <f>Data!D287</f>
        <v>10.131660850204062</v>
      </c>
      <c r="AF53" s="171" t="s">
        <v>13</v>
      </c>
      <c r="AG53" s="559" t="s">
        <v>19</v>
      </c>
      <c r="AH53" s="561"/>
      <c r="AI53" s="560"/>
      <c r="AJ53" s="560"/>
      <c r="AK53" s="560"/>
      <c r="AL53" s="583"/>
      <c r="AM53" s="129"/>
      <c r="AN53" s="12"/>
      <c r="AO53" s="94"/>
      <c r="AP53" s="94"/>
      <c r="AQ53" s="650"/>
      <c r="AR53" s="15"/>
      <c r="AS53" s="15"/>
      <c r="AT53" s="15"/>
      <c r="AU53" s="15"/>
      <c r="AV53" s="15"/>
      <c r="AW53" s="15"/>
      <c r="AX53" s="94"/>
      <c r="AY53" s="94"/>
      <c r="AZ53" s="94"/>
      <c r="BA53" s="94"/>
      <c r="BB53" s="94"/>
    </row>
    <row r="54" spans="2:54" ht="12.75" customHeight="1">
      <c r="B54" s="113"/>
      <c r="C54" s="113"/>
      <c r="D54" s="83"/>
      <c r="E54" s="83"/>
      <c r="F54" s="853"/>
      <c r="G54" s="854"/>
      <c r="H54" s="854"/>
      <c r="I54" s="854"/>
      <c r="J54" s="83"/>
      <c r="K54" s="83"/>
      <c r="L54" s="81"/>
      <c r="M54" s="129"/>
      <c r="N54" s="12"/>
      <c r="O54" s="113"/>
      <c r="P54" s="113"/>
      <c r="Q54" s="170" t="s">
        <v>349</v>
      </c>
      <c r="R54" s="557" t="str">
        <f>IF(OR(Data!C108="Ei liittorakennetta",Data!C108="Liittorakenne palkin kanssa (liimaliitos)"),"-",Data!D150)</f>
        <v>-</v>
      </c>
      <c r="S54" s="170" t="s">
        <v>44</v>
      </c>
      <c r="T54" s="559" t="s">
        <v>381</v>
      </c>
      <c r="U54" s="561"/>
      <c r="V54" s="561"/>
      <c r="W54" s="561"/>
      <c r="X54" s="561"/>
      <c r="Y54" s="81"/>
      <c r="Z54" s="129"/>
      <c r="AA54" s="12"/>
      <c r="AB54" s="113"/>
      <c r="AC54" s="584"/>
      <c r="AD54" s="55"/>
      <c r="AE54" s="55"/>
      <c r="AF54" s="55"/>
      <c r="AG54" s="55"/>
      <c r="AH54" s="55"/>
      <c r="AI54" s="55"/>
      <c r="AJ54" s="55"/>
      <c r="AK54" s="55"/>
      <c r="AL54" s="583"/>
      <c r="AM54" s="129"/>
      <c r="AN54" s="12"/>
      <c r="AO54" s="94"/>
      <c r="AP54" s="94"/>
      <c r="AQ54" s="19"/>
      <c r="AR54" s="15"/>
      <c r="AS54" s="19"/>
      <c r="AT54" s="18"/>
      <c r="AU54" s="18"/>
      <c r="AV54" s="15"/>
      <c r="AW54" s="15"/>
      <c r="AX54" s="94"/>
      <c r="AY54" s="94"/>
      <c r="AZ54" s="94"/>
      <c r="BA54" s="94"/>
      <c r="BB54" s="94"/>
    </row>
    <row r="55" spans="2:54" ht="12.75" customHeight="1">
      <c r="B55" s="113"/>
      <c r="C55" s="113"/>
      <c r="D55" s="795" t="str">
        <f>IF(D52="Tarkasta lähtötiedot","VIRHE!",IF(D52&gt;100%,"VIRHE!","OK"))</f>
        <v>OK</v>
      </c>
      <c r="E55" s="796"/>
      <c r="F55" s="776" t="str">
        <f>IF(F71&gt;0,"",Data!D88)</f>
        <v>1 x </v>
      </c>
      <c r="G55" s="778" t="str">
        <f>IF(F71&gt;0,"Tarkasta lähtötiedot",Palkkikirjasto!E12)</f>
        <v>Kerto-S 51x300</v>
      </c>
      <c r="H55" s="779"/>
      <c r="I55" s="781">
        <f>IF(F71&gt;0,"",H35)</f>
        <v>400</v>
      </c>
      <c r="J55" s="795" t="str">
        <f>IF(J52="Tarkasta lähtötiedot","VIRHE!",IF(J52&gt;100%,"VIRHE!","OK"))</f>
        <v>OK</v>
      </c>
      <c r="K55" s="796"/>
      <c r="L55" s="81"/>
      <c r="M55" s="129"/>
      <c r="N55" s="12"/>
      <c r="O55" s="113"/>
      <c r="P55" s="113"/>
      <c r="Q55" s="170" t="s">
        <v>350</v>
      </c>
      <c r="R55" s="557">
        <f>IF(Data!C108="Ei liittorakennetta","-",Data!D153)</f>
        <v>1</v>
      </c>
      <c r="S55" s="558"/>
      <c r="T55" s="559" t="s">
        <v>373</v>
      </c>
      <c r="U55" s="560"/>
      <c r="V55" s="560"/>
      <c r="W55" s="560"/>
      <c r="X55" s="560"/>
      <c r="Y55" s="81"/>
      <c r="Z55" s="129"/>
      <c r="AA55" s="12"/>
      <c r="AB55" s="113"/>
      <c r="AC55" s="584"/>
      <c r="AD55" s="55"/>
      <c r="AE55" s="55"/>
      <c r="AF55" s="55"/>
      <c r="AG55" s="55"/>
      <c r="AH55" s="55"/>
      <c r="AI55" s="55"/>
      <c r="AJ55" s="55"/>
      <c r="AK55" s="55"/>
      <c r="AL55" s="583"/>
      <c r="AM55" s="129"/>
      <c r="AN55" s="12"/>
      <c r="AO55" s="94"/>
      <c r="AP55" s="94"/>
      <c r="AQ55" s="18"/>
      <c r="AR55" s="19"/>
      <c r="AS55" s="19"/>
      <c r="AT55" s="18"/>
      <c r="AU55" s="18"/>
      <c r="AV55" s="15"/>
      <c r="AW55" s="15"/>
      <c r="AX55" s="94"/>
      <c r="AY55" s="94"/>
      <c r="AZ55" s="94"/>
      <c r="BA55" s="94"/>
      <c r="BB55" s="94"/>
    </row>
    <row r="56" spans="2:54" ht="12.75" customHeight="1" thickBot="1">
      <c r="B56" s="113"/>
      <c r="C56" s="113"/>
      <c r="D56" s="797"/>
      <c r="E56" s="798"/>
      <c r="F56" s="777"/>
      <c r="G56" s="780"/>
      <c r="H56" s="780"/>
      <c r="I56" s="771"/>
      <c r="J56" s="797"/>
      <c r="K56" s="798"/>
      <c r="L56" s="81"/>
      <c r="M56" s="129"/>
      <c r="N56" s="12"/>
      <c r="O56" s="113"/>
      <c r="P56" s="113"/>
      <c r="Q56" s="170" t="s">
        <v>351</v>
      </c>
      <c r="R56" s="557">
        <f>IF(Data!C108="Ei liittorakennetta","-",Data!D154)</f>
        <v>1</v>
      </c>
      <c r="S56" s="558"/>
      <c r="T56" s="559" t="s">
        <v>374</v>
      </c>
      <c r="U56" s="560"/>
      <c r="V56" s="560"/>
      <c r="W56" s="560"/>
      <c r="X56" s="560"/>
      <c r="Y56" s="81"/>
      <c r="Z56" s="129"/>
      <c r="AA56" s="12"/>
      <c r="AB56" s="113"/>
      <c r="AC56" s="584"/>
      <c r="AD56" s="55"/>
      <c r="AE56" s="55"/>
      <c r="AF56" s="55"/>
      <c r="AG56" s="55"/>
      <c r="AH56" s="55"/>
      <c r="AI56" s="55"/>
      <c r="AJ56" s="55"/>
      <c r="AK56" s="55"/>
      <c r="AL56" s="583"/>
      <c r="AM56" s="129"/>
      <c r="AN56" s="12"/>
      <c r="AO56" s="94"/>
      <c r="AP56" s="94"/>
      <c r="AQ56" s="18"/>
      <c r="AR56" s="19"/>
      <c r="AS56" s="19"/>
      <c r="AT56" s="18"/>
      <c r="AU56" s="15"/>
      <c r="AV56" s="607"/>
      <c r="AW56" s="15"/>
      <c r="AX56" s="94"/>
      <c r="AY56" s="94"/>
      <c r="AZ56" s="94"/>
      <c r="BA56" s="94"/>
      <c r="BB56" s="94"/>
    </row>
    <row r="57" spans="2:54" ht="12.75" customHeight="1">
      <c r="B57" s="113"/>
      <c r="C57" s="113"/>
      <c r="D57" s="55"/>
      <c r="E57" s="55"/>
      <c r="F57" s="55"/>
      <c r="G57" s="55"/>
      <c r="H57" s="55"/>
      <c r="I57" s="55"/>
      <c r="J57" s="55"/>
      <c r="K57" s="55"/>
      <c r="L57" s="81"/>
      <c r="M57" s="129"/>
      <c r="N57" s="12"/>
      <c r="O57" s="113"/>
      <c r="P57" s="113"/>
      <c r="Q57" s="170" t="s">
        <v>352</v>
      </c>
      <c r="R57" s="557">
        <f>IF(Data!C108="Ei liittorakennetta","-",Data!D158)</f>
        <v>138.92307004737359</v>
      </c>
      <c r="S57" s="170" t="s">
        <v>0</v>
      </c>
      <c r="T57" s="559" t="s">
        <v>460</v>
      </c>
      <c r="U57" s="170"/>
      <c r="V57" s="558"/>
      <c r="W57" s="128"/>
      <c r="X57" s="558"/>
      <c r="Y57" s="81"/>
      <c r="Z57" s="129"/>
      <c r="AA57" s="12"/>
      <c r="AB57" s="113"/>
      <c r="AC57" s="584"/>
      <c r="AD57" s="55"/>
      <c r="AE57" s="55"/>
      <c r="AF57" s="55"/>
      <c r="AG57" s="55"/>
      <c r="AH57" s="55"/>
      <c r="AI57" s="55"/>
      <c r="AJ57" s="55"/>
      <c r="AK57" s="55"/>
      <c r="AL57" s="583"/>
      <c r="AM57" s="129"/>
      <c r="AN57" s="12"/>
      <c r="AO57" s="94"/>
      <c r="AP57" s="94"/>
      <c r="AQ57" s="650"/>
      <c r="AR57" s="650"/>
      <c r="AS57" s="650"/>
      <c r="AT57" s="650"/>
      <c r="AU57" s="18"/>
      <c r="AV57" s="19"/>
      <c r="AW57" s="15"/>
      <c r="AX57" s="94"/>
      <c r="AY57" s="94"/>
      <c r="AZ57" s="94"/>
      <c r="BA57" s="94"/>
      <c r="BB57" s="94"/>
    </row>
    <row r="58" spans="2:54" ht="12.75" customHeight="1">
      <c r="B58" s="113"/>
      <c r="C58" s="113"/>
      <c r="D58" s="55"/>
      <c r="E58" s="55"/>
      <c r="F58" s="55"/>
      <c r="G58" s="55"/>
      <c r="H58" s="55"/>
      <c r="I58" s="55"/>
      <c r="J58" s="55"/>
      <c r="K58" s="55"/>
      <c r="L58" s="81"/>
      <c r="M58" s="129"/>
      <c r="N58" s="12"/>
      <c r="O58" s="113"/>
      <c r="P58" s="113"/>
      <c r="Q58" s="170" t="s">
        <v>353</v>
      </c>
      <c r="R58" s="557">
        <f>IF(Data!C108="Ei liittorakennetta","-",Data!D157)</f>
        <v>20.076929952626404</v>
      </c>
      <c r="S58" s="170" t="s">
        <v>0</v>
      </c>
      <c r="T58" s="559" t="s">
        <v>461</v>
      </c>
      <c r="U58" s="170"/>
      <c r="V58" s="558"/>
      <c r="W58" s="558"/>
      <c r="X58" s="170"/>
      <c r="Y58" s="81"/>
      <c r="Z58" s="129"/>
      <c r="AA58" s="12"/>
      <c r="AB58" s="113"/>
      <c r="AC58" s="584"/>
      <c r="AD58" s="55"/>
      <c r="AE58" s="55"/>
      <c r="AF58" s="55"/>
      <c r="AG58" s="55"/>
      <c r="AH58" s="55"/>
      <c r="AI58" s="55"/>
      <c r="AJ58" s="55"/>
      <c r="AK58" s="55"/>
      <c r="AL58" s="583"/>
      <c r="AM58" s="129"/>
      <c r="AN58" s="12"/>
      <c r="AO58" s="94"/>
      <c r="AP58" s="94"/>
      <c r="AQ58" s="15"/>
      <c r="AR58" s="15"/>
      <c r="AS58" s="15"/>
      <c r="AT58" s="15"/>
      <c r="AU58" s="15"/>
      <c r="AV58" s="15"/>
      <c r="AW58" s="15"/>
      <c r="AX58" s="94"/>
      <c r="AY58" s="94"/>
      <c r="AZ58" s="94"/>
      <c r="BA58" s="94"/>
      <c r="BB58" s="94"/>
    </row>
    <row r="59" spans="2:54" ht="12.75" customHeight="1">
      <c r="B59" s="113"/>
      <c r="C59" s="177"/>
      <c r="D59" s="47"/>
      <c r="E59" s="47"/>
      <c r="F59" s="47"/>
      <c r="G59" s="48"/>
      <c r="H59" s="47"/>
      <c r="I59" s="49"/>
      <c r="J59" s="49"/>
      <c r="K59" s="48"/>
      <c r="L59" s="178"/>
      <c r="M59" s="129"/>
      <c r="N59" s="12"/>
      <c r="O59" s="113"/>
      <c r="P59" s="177"/>
      <c r="Q59" s="169"/>
      <c r="R59" s="169"/>
      <c r="S59" s="169"/>
      <c r="T59" s="169"/>
      <c r="U59" s="169"/>
      <c r="V59" s="185"/>
      <c r="W59" s="185"/>
      <c r="X59" s="185"/>
      <c r="Y59" s="178"/>
      <c r="Z59" s="129"/>
      <c r="AA59" s="12"/>
      <c r="AB59" s="113"/>
      <c r="AC59" s="593"/>
      <c r="AD59" s="587"/>
      <c r="AE59" s="587"/>
      <c r="AF59" s="587"/>
      <c r="AG59" s="587"/>
      <c r="AH59" s="587"/>
      <c r="AI59" s="587"/>
      <c r="AJ59" s="587"/>
      <c r="AK59" s="587"/>
      <c r="AL59" s="594"/>
      <c r="AM59" s="129"/>
      <c r="AN59" s="12"/>
      <c r="AO59" s="94"/>
      <c r="AP59" s="94"/>
      <c r="AQ59" s="94"/>
      <c r="AR59" s="94"/>
      <c r="AS59" s="94"/>
      <c r="AT59" s="94"/>
      <c r="AU59" s="94"/>
      <c r="AV59" s="94"/>
      <c r="AW59" s="94"/>
      <c r="AX59" s="94"/>
      <c r="AY59" s="94"/>
      <c r="AZ59" s="94"/>
      <c r="BA59" s="94"/>
      <c r="BB59" s="94"/>
    </row>
    <row r="60" spans="2:54" ht="12.75" customHeight="1" thickBot="1">
      <c r="B60" s="156"/>
      <c r="C60" s="157"/>
      <c r="D60" s="157"/>
      <c r="E60" s="157"/>
      <c r="F60" s="157"/>
      <c r="G60" s="157"/>
      <c r="H60" s="157"/>
      <c r="I60" s="157"/>
      <c r="J60" s="157"/>
      <c r="K60" s="157"/>
      <c r="L60" s="157"/>
      <c r="M60" s="158"/>
      <c r="N60" s="12"/>
      <c r="O60" s="156"/>
      <c r="P60" s="157"/>
      <c r="Q60" s="157"/>
      <c r="R60" s="157"/>
      <c r="S60" s="157"/>
      <c r="T60" s="157"/>
      <c r="U60" s="157"/>
      <c r="V60" s="187"/>
      <c r="W60" s="157"/>
      <c r="X60" s="157"/>
      <c r="Y60" s="157"/>
      <c r="Z60" s="158"/>
      <c r="AA60" s="12"/>
      <c r="AB60" s="156"/>
      <c r="AC60" s="157"/>
      <c r="AD60" s="157"/>
      <c r="AE60" s="157"/>
      <c r="AF60" s="157"/>
      <c r="AG60" s="157"/>
      <c r="AH60" s="157"/>
      <c r="AI60" s="157"/>
      <c r="AJ60" s="157"/>
      <c r="AK60" s="157"/>
      <c r="AL60" s="157"/>
      <c r="AM60" s="158"/>
      <c r="AO60" s="94"/>
      <c r="AP60" s="94"/>
      <c r="AQ60" s="94"/>
      <c r="AR60" s="94"/>
      <c r="AS60" s="94"/>
      <c r="AT60" s="94"/>
      <c r="AU60" s="94"/>
      <c r="AV60" s="94"/>
      <c r="AW60" s="94"/>
      <c r="AX60" s="94"/>
      <c r="AY60" s="94"/>
      <c r="AZ60" s="94"/>
      <c r="BA60" s="94"/>
      <c r="BB60" s="94"/>
    </row>
    <row r="61" spans="28:54" ht="12.75" customHeight="1" thickTop="1">
      <c r="AB61" s="16"/>
      <c r="AO61" s="94"/>
      <c r="AP61" s="94"/>
      <c r="AQ61" s="94"/>
      <c r="AR61" s="94"/>
      <c r="AS61" s="94"/>
      <c r="AT61" s="94"/>
      <c r="AU61" s="94"/>
      <c r="AV61" s="94"/>
      <c r="AW61" s="94"/>
      <c r="AX61" s="94"/>
      <c r="AY61" s="94"/>
      <c r="AZ61" s="94"/>
      <c r="BA61" s="94"/>
      <c r="BB61" s="94"/>
    </row>
    <row r="62" spans="1:28" ht="12.75" customHeight="1">
      <c r="A62" s="12"/>
      <c r="AB62" s="16"/>
    </row>
    <row r="63" ht="12.75" customHeight="1"/>
    <row r="64" spans="4:26" ht="12.75" customHeight="1">
      <c r="D64" s="12"/>
      <c r="E64" s="12"/>
      <c r="F64" s="12"/>
      <c r="G64" s="12"/>
      <c r="H64" s="12"/>
      <c r="I64" s="12"/>
      <c r="J64" s="12"/>
      <c r="K64" s="12"/>
      <c r="X64" s="12"/>
      <c r="Y64" s="12"/>
      <c r="Z64" s="12"/>
    </row>
    <row r="65" spans="4:36" ht="12.75" customHeight="1" hidden="1">
      <c r="D65" s="31"/>
      <c r="E65" s="12"/>
      <c r="F65" s="12"/>
      <c r="G65" s="12"/>
      <c r="H65" s="12"/>
      <c r="I65" s="12"/>
      <c r="J65" s="423"/>
      <c r="X65" s="12"/>
      <c r="Y65" s="12"/>
      <c r="Z65" s="12"/>
      <c r="AB65" s="12"/>
      <c r="AC65" s="12"/>
      <c r="AD65" s="12"/>
      <c r="AE65" s="12"/>
      <c r="AF65" s="12"/>
      <c r="AG65" s="12"/>
      <c r="AH65" s="12"/>
      <c r="AI65" s="12"/>
      <c r="AJ65" s="12"/>
    </row>
    <row r="66" spans="4:36" ht="12.75" customHeight="1" hidden="1">
      <c r="D66" s="707" t="s">
        <v>310</v>
      </c>
      <c r="E66" s="552"/>
      <c r="F66" s="552"/>
      <c r="G66" s="708"/>
      <c r="H66" s="553"/>
      <c r="I66" s="12"/>
      <c r="X66" s="12"/>
      <c r="Y66" s="12"/>
      <c r="Z66" s="12"/>
      <c r="AB66" s="12"/>
      <c r="AC66" s="767"/>
      <c r="AD66" s="767"/>
      <c r="AE66" s="767"/>
      <c r="AF66" s="767"/>
      <c r="AG66" s="832"/>
      <c r="AH66" s="767"/>
      <c r="AI66" s="767"/>
      <c r="AJ66" s="767"/>
    </row>
    <row r="67" spans="4:36" ht="12.75" customHeight="1" hidden="1">
      <c r="D67" s="659" t="s">
        <v>182</v>
      </c>
      <c r="E67" s="12"/>
      <c r="F67" s="660">
        <f>IF(G67="VIRHE! Tieto puuttuu",1,0)</f>
        <v>0</v>
      </c>
      <c r="G67" s="17" t="str">
        <f>IF(Data!C12="oma","VIRHE! Tieto puuttuu","Kansirakenne")</f>
        <v>Kansirakenne</v>
      </c>
      <c r="H67" s="550"/>
      <c r="I67" s="498"/>
      <c r="X67" s="12"/>
      <c r="Y67" s="12"/>
      <c r="Z67" s="12"/>
      <c r="AB67" s="12"/>
      <c r="AC67" s="767"/>
      <c r="AD67" s="767"/>
      <c r="AE67" s="767"/>
      <c r="AF67" s="767"/>
      <c r="AG67" s="832"/>
      <c r="AH67" s="767"/>
      <c r="AI67" s="767"/>
      <c r="AJ67" s="767"/>
    </row>
    <row r="68" spans="4:36" ht="12.75" customHeight="1" hidden="1">
      <c r="D68" s="659" t="s">
        <v>222</v>
      </c>
      <c r="E68" s="12"/>
      <c r="F68" s="660">
        <f>IF(G68="VIRHE! Tieto puuttuu",1,0)</f>
        <v>0</v>
      </c>
      <c r="G68" s="17" t="str">
        <f>IF(Palkkikirjasto!E12="oma","VIRHE! Tieto puuttuu","Palkki")</f>
        <v>Palkki</v>
      </c>
      <c r="H68" s="550"/>
      <c r="I68" s="12"/>
      <c r="X68" s="12"/>
      <c r="Y68" s="12"/>
      <c r="Z68" s="12"/>
      <c r="AB68" s="12"/>
      <c r="AC68" s="774"/>
      <c r="AD68" s="774"/>
      <c r="AE68" s="774"/>
      <c r="AF68" s="775"/>
      <c r="AG68" s="768"/>
      <c r="AH68" s="18"/>
      <c r="AI68" s="18"/>
      <c r="AJ68" s="12"/>
    </row>
    <row r="69" spans="4:36" ht="12.75" customHeight="1" hidden="1">
      <c r="D69" s="717" t="s">
        <v>315</v>
      </c>
      <c r="E69" s="12"/>
      <c r="F69" s="660">
        <f>IF(G69="VIRHE! Väärä koko",1,0)</f>
        <v>0</v>
      </c>
      <c r="G69" s="18">
        <f>IF(Data!C108="Liittorakenne palkin kanssa (puikkoliittimet)",IF(OR(Data!AA105="Virhe!",Data!AA106="Virhe!"),"VIRHE! Väärä koko","Liitintyyppi"),"")</f>
      </c>
      <c r="H69" s="550"/>
      <c r="I69" s="12"/>
      <c r="X69" s="12"/>
      <c r="Y69" s="12"/>
      <c r="Z69" s="12"/>
      <c r="AB69" s="12"/>
      <c r="AC69" s="774"/>
      <c r="AD69" s="774"/>
      <c r="AE69" s="774"/>
      <c r="AF69" s="775"/>
      <c r="AG69" s="774"/>
      <c r="AH69" s="12"/>
      <c r="AI69" s="18"/>
      <c r="AJ69" s="12"/>
    </row>
    <row r="70" spans="4:36" ht="12.75" customHeight="1" hidden="1">
      <c r="D70" s="661" t="s">
        <v>453</v>
      </c>
      <c r="E70" s="658"/>
      <c r="F70" s="660">
        <f>IF(G70="VALINTA PUUTTUU",1,0)</f>
        <v>0</v>
      </c>
      <c r="G70" s="662" t="str">
        <f>Data!C5</f>
        <v>2 reunaa tuettu  (reunapalkki + kansi + pintalaatta vapaana)</v>
      </c>
      <c r="H70" s="551"/>
      <c r="I70" s="12"/>
      <c r="X70" s="12"/>
      <c r="Y70" s="12"/>
      <c r="Z70" s="12"/>
      <c r="AB70" s="12"/>
      <c r="AC70" s="686"/>
      <c r="AD70" s="686"/>
      <c r="AE70" s="686"/>
      <c r="AF70" s="607"/>
      <c r="AG70" s="686"/>
      <c r="AH70" s="12"/>
      <c r="AI70" s="18"/>
      <c r="AJ70" s="12"/>
    </row>
    <row r="71" spans="4:36" ht="12.75" customHeight="1" hidden="1">
      <c r="D71" s="663"/>
      <c r="E71" s="552"/>
      <c r="F71" s="664">
        <f>SUM(F67:F70)</f>
        <v>0</v>
      </c>
      <c r="G71" s="552"/>
      <c r="H71" s="553"/>
      <c r="I71" s="12"/>
      <c r="J71" s="12"/>
      <c r="K71" s="12"/>
      <c r="X71" s="12"/>
      <c r="Y71" s="12"/>
      <c r="Z71" s="12"/>
      <c r="AB71" s="12"/>
      <c r="AC71" s="774"/>
      <c r="AD71" s="774"/>
      <c r="AE71" s="774"/>
      <c r="AF71" s="775"/>
      <c r="AG71" s="769"/>
      <c r="AH71" s="607"/>
      <c r="AI71" s="18"/>
      <c r="AJ71" s="12"/>
    </row>
    <row r="72" spans="4:36" ht="12.75" customHeight="1" hidden="1">
      <c r="D72" s="17"/>
      <c r="E72" s="12"/>
      <c r="F72" s="22"/>
      <c r="G72" s="12"/>
      <c r="H72" s="12"/>
      <c r="X72" s="12"/>
      <c r="Y72" s="12"/>
      <c r="Z72" s="12"/>
      <c r="AB72" s="12"/>
      <c r="AC72" s="774"/>
      <c r="AD72" s="774"/>
      <c r="AE72" s="774"/>
      <c r="AF72" s="775"/>
      <c r="AG72" s="774"/>
      <c r="AH72" s="607"/>
      <c r="AI72" s="18"/>
      <c r="AJ72" s="12"/>
    </row>
    <row r="73" spans="4:36" ht="12.75" customHeight="1" hidden="1">
      <c r="D73" s="707" t="s">
        <v>449</v>
      </c>
      <c r="E73" s="552"/>
      <c r="F73" s="709"/>
      <c r="G73" s="12"/>
      <c r="H73" s="12"/>
      <c r="X73" s="12"/>
      <c r="Y73" s="12"/>
      <c r="Z73" s="12"/>
      <c r="AB73" s="12"/>
      <c r="AC73" s="767"/>
      <c r="AD73" s="767"/>
      <c r="AE73" s="767"/>
      <c r="AF73" s="767"/>
      <c r="AG73" s="775"/>
      <c r="AH73" s="26"/>
      <c r="AI73" s="17"/>
      <c r="AJ73" s="12"/>
    </row>
    <row r="74" spans="4:36" ht="12.75" customHeight="1" hidden="1">
      <c r="D74" s="710" t="s">
        <v>448</v>
      </c>
      <c r="E74" s="552"/>
      <c r="F74" s="711">
        <f>IF(Data!J5=1,1,0)</f>
        <v>1</v>
      </c>
      <c r="X74" s="12"/>
      <c r="Y74" s="12"/>
      <c r="Z74" s="12"/>
      <c r="AB74" s="12"/>
      <c r="AC74" s="767"/>
      <c r="AD74" s="767"/>
      <c r="AE74" s="767"/>
      <c r="AF74" s="767"/>
      <c r="AG74" s="775"/>
      <c r="AH74" s="607"/>
      <c r="AI74" s="18"/>
      <c r="AJ74" s="12"/>
    </row>
    <row r="75" spans="13:36" ht="12.75" customHeight="1" hidden="1">
      <c r="M75" s="12"/>
      <c r="N75" s="12"/>
      <c r="O75" s="12"/>
      <c r="X75" s="12"/>
      <c r="Y75" s="12"/>
      <c r="Z75" s="12"/>
      <c r="AB75" s="12"/>
      <c r="AC75" s="608"/>
      <c r="AD75" s="608"/>
      <c r="AE75" s="770"/>
      <c r="AF75" s="773"/>
      <c r="AG75" s="609"/>
      <c r="AH75" s="26"/>
      <c r="AI75" s="17"/>
      <c r="AJ75" s="12"/>
    </row>
    <row r="76" spans="4:36" ht="12.75" customHeight="1">
      <c r="D76" s="17"/>
      <c r="E76" s="12"/>
      <c r="M76" s="12"/>
      <c r="N76" s="12"/>
      <c r="O76" s="12"/>
      <c r="X76" s="12"/>
      <c r="Y76" s="12"/>
      <c r="Z76" s="12"/>
      <c r="AB76" s="12"/>
      <c r="AC76" s="608"/>
      <c r="AD76" s="608"/>
      <c r="AE76" s="772"/>
      <c r="AF76" s="773"/>
      <c r="AG76" s="609"/>
      <c r="AH76" s="26"/>
      <c r="AI76" s="12"/>
      <c r="AJ76" s="12"/>
    </row>
    <row r="77" spans="13:36" ht="12.75" customHeight="1">
      <c r="M77" s="12"/>
      <c r="N77" s="12"/>
      <c r="O77" s="12"/>
      <c r="X77" s="12"/>
      <c r="Y77" s="12"/>
      <c r="Z77" s="12"/>
      <c r="AB77" s="12"/>
      <c r="AC77" s="12"/>
      <c r="AD77" s="12"/>
      <c r="AE77" s="12"/>
      <c r="AF77" s="12"/>
      <c r="AG77" s="12"/>
      <c r="AH77" s="12"/>
      <c r="AI77" s="12"/>
      <c r="AJ77" s="12"/>
    </row>
    <row r="78" spans="4:36" ht="12.75" customHeight="1">
      <c r="D78" s="12"/>
      <c r="E78" s="12"/>
      <c r="H78" s="19"/>
      <c r="M78" s="12"/>
      <c r="N78" s="12"/>
      <c r="O78" s="12"/>
      <c r="X78" s="12"/>
      <c r="Y78" s="12"/>
      <c r="Z78" s="12"/>
      <c r="AB78" s="12"/>
      <c r="AC78" s="12"/>
      <c r="AD78" s="12"/>
      <c r="AE78" s="12"/>
      <c r="AF78" s="12"/>
      <c r="AG78" s="12"/>
      <c r="AH78" s="12"/>
      <c r="AI78" s="12"/>
      <c r="AJ78" s="12"/>
    </row>
    <row r="79" spans="5:26" ht="12.75" customHeight="1">
      <c r="E79" s="19"/>
      <c r="M79" s="12"/>
      <c r="N79" s="12"/>
      <c r="O79" s="12"/>
      <c r="X79" s="12"/>
      <c r="Y79" s="12"/>
      <c r="Z79" s="12"/>
    </row>
    <row r="80" spans="12:26" ht="12.75" customHeight="1">
      <c r="L80" s="12"/>
      <c r="M80" s="12"/>
      <c r="N80" s="12"/>
      <c r="O80" s="12"/>
      <c r="P80" s="12"/>
      <c r="Q80" s="12"/>
      <c r="R80" s="12"/>
      <c r="S80" s="12"/>
      <c r="T80" s="12"/>
      <c r="U80" s="12"/>
      <c r="V80" s="26"/>
      <c r="W80" s="12"/>
      <c r="X80" s="12"/>
      <c r="Y80" s="12"/>
      <c r="Z80" s="12"/>
    </row>
    <row r="81" spans="12:26" ht="12.75" customHeight="1">
      <c r="L81" s="12"/>
      <c r="M81" s="12"/>
      <c r="N81" s="12"/>
      <c r="O81" s="12"/>
      <c r="P81" s="12"/>
      <c r="Q81" s="12"/>
      <c r="R81" s="12"/>
      <c r="S81" s="12"/>
      <c r="T81" s="12"/>
      <c r="U81" s="12"/>
      <c r="V81" s="26"/>
      <c r="W81" s="12"/>
      <c r="X81" s="12"/>
      <c r="Y81" s="12"/>
      <c r="Z81" s="12"/>
    </row>
    <row r="82" spans="12:26" ht="12.75" customHeight="1">
      <c r="L82" s="12"/>
      <c r="M82" s="12"/>
      <c r="N82" s="12"/>
      <c r="O82" s="12"/>
      <c r="P82" s="12"/>
      <c r="Q82" s="12"/>
      <c r="R82" s="12"/>
      <c r="S82" s="12"/>
      <c r="T82" s="12"/>
      <c r="U82" s="12"/>
      <c r="V82" s="26"/>
      <c r="W82" s="12"/>
      <c r="X82" s="12"/>
      <c r="Y82" s="12"/>
      <c r="Z82" s="12"/>
    </row>
    <row r="83" spans="12:26" ht="12.75" customHeight="1">
      <c r="L83" s="12"/>
      <c r="M83" s="12"/>
      <c r="N83" s="12"/>
      <c r="O83" s="12"/>
      <c r="P83" s="12"/>
      <c r="Q83" s="12"/>
      <c r="R83" s="12"/>
      <c r="S83" s="12"/>
      <c r="T83" s="12"/>
      <c r="U83" s="12"/>
      <c r="V83" s="26"/>
      <c r="W83" s="12"/>
      <c r="X83" s="12"/>
      <c r="Y83" s="12"/>
      <c r="Z83" s="12"/>
    </row>
    <row r="84" spans="12:26" ht="12.75" customHeight="1">
      <c r="L84" s="12"/>
      <c r="M84" s="12"/>
      <c r="N84" s="12"/>
      <c r="O84" s="12"/>
      <c r="P84" s="12"/>
      <c r="Q84" s="12"/>
      <c r="R84" s="12"/>
      <c r="S84" s="12"/>
      <c r="T84" s="12"/>
      <c r="U84" s="12"/>
      <c r="V84" s="26"/>
      <c r="W84" s="12"/>
      <c r="X84" s="12"/>
      <c r="Y84" s="12"/>
      <c r="Z84" s="12"/>
    </row>
    <row r="85" spans="12:17" ht="12.75" customHeight="1">
      <c r="L85" s="12"/>
      <c r="M85" s="12"/>
      <c r="N85" s="12"/>
      <c r="O85" s="12"/>
      <c r="P85" s="12"/>
      <c r="Q85" s="12"/>
    </row>
    <row r="86" spans="12:17" ht="12.75" customHeight="1">
      <c r="L86" s="12"/>
      <c r="M86" s="12"/>
      <c r="N86" s="12"/>
      <c r="O86" s="12"/>
      <c r="P86" s="12"/>
      <c r="Q86" s="12"/>
    </row>
    <row r="87" spans="12:17" ht="12.75" customHeight="1">
      <c r="L87" s="12"/>
      <c r="M87" s="12"/>
      <c r="N87" s="12"/>
      <c r="O87" s="12"/>
      <c r="P87" s="12"/>
      <c r="Q87" s="12"/>
    </row>
    <row r="88" spans="12:17" ht="12.75" customHeight="1">
      <c r="L88" s="12"/>
      <c r="M88" s="12"/>
      <c r="N88" s="12"/>
      <c r="O88" s="12"/>
      <c r="P88" s="12"/>
      <c r="Q88" s="12"/>
    </row>
    <row r="89" spans="12:17" ht="12.75" customHeight="1">
      <c r="L89" s="12"/>
      <c r="M89" s="12"/>
      <c r="N89" s="12"/>
      <c r="O89" s="12"/>
      <c r="P89" s="12"/>
      <c r="Q89" s="12"/>
    </row>
    <row r="90" spans="12:17" ht="12.75" customHeight="1">
      <c r="L90" s="12"/>
      <c r="M90" s="12"/>
      <c r="N90" s="12"/>
      <c r="O90" s="12"/>
      <c r="P90" s="12"/>
      <c r="Q90" s="12"/>
    </row>
    <row r="91" spans="12:17" ht="12.75" customHeight="1">
      <c r="L91" s="12"/>
      <c r="M91" s="12"/>
      <c r="N91" s="12"/>
      <c r="O91" s="12"/>
      <c r="P91" s="12"/>
      <c r="Q91" s="12"/>
    </row>
    <row r="92" spans="12:17" ht="12.75" customHeight="1">
      <c r="L92" s="12"/>
      <c r="M92" s="12"/>
      <c r="N92" s="12"/>
      <c r="O92" s="12"/>
      <c r="P92" s="12"/>
      <c r="Q92" s="12"/>
    </row>
    <row r="93" spans="12:17" ht="12.75" customHeight="1">
      <c r="L93" s="12"/>
      <c r="M93" s="12"/>
      <c r="N93" s="12"/>
      <c r="O93" s="12"/>
      <c r="P93" s="12"/>
      <c r="Q93" s="12"/>
    </row>
    <row r="94" spans="12:17" ht="12.75" customHeight="1">
      <c r="L94" s="12"/>
      <c r="M94" s="12"/>
      <c r="N94" s="12"/>
      <c r="O94" s="12"/>
      <c r="P94" s="12"/>
      <c r="Q94" s="12"/>
    </row>
    <row r="95" spans="12:17" ht="12.75" customHeight="1">
      <c r="L95" s="12"/>
      <c r="M95" s="12"/>
      <c r="N95" s="12"/>
      <c r="O95" s="12"/>
      <c r="P95" s="12"/>
      <c r="Q95" s="12"/>
    </row>
    <row r="96" spans="12:17" ht="12.75" customHeight="1">
      <c r="L96" s="12"/>
      <c r="M96" s="12"/>
      <c r="N96" s="12"/>
      <c r="O96" s="12"/>
      <c r="P96" s="12"/>
      <c r="Q96" s="12"/>
    </row>
    <row r="97" spans="12:17" ht="12.75" customHeight="1">
      <c r="L97" s="12"/>
      <c r="M97" s="12"/>
      <c r="N97" s="12"/>
      <c r="O97" s="12"/>
      <c r="P97" s="12"/>
      <c r="Q97" s="12"/>
    </row>
    <row r="98" spans="12:17" ht="12.75" customHeight="1">
      <c r="L98" s="12"/>
      <c r="M98" s="12"/>
      <c r="N98" s="12"/>
      <c r="O98" s="12"/>
      <c r="P98" s="12"/>
      <c r="Q98" s="12"/>
    </row>
    <row r="99" spans="12:17" ht="12.75" customHeight="1">
      <c r="L99" s="12"/>
      <c r="M99" s="12"/>
      <c r="N99" s="12"/>
      <c r="O99" s="12"/>
      <c r="P99" s="12"/>
      <c r="Q99" s="1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sheetData>
  <sheetProtection password="C8AE" sheet="1" objects="1" scenarios="1" selectLockedCells="1"/>
  <mergeCells count="53">
    <mergeCell ref="J52:K52"/>
    <mergeCell ref="F51:I51"/>
    <mergeCell ref="F50:I50"/>
    <mergeCell ref="J51:K51"/>
    <mergeCell ref="J49:K50"/>
    <mergeCell ref="F54:I54"/>
    <mergeCell ref="D51:E51"/>
    <mergeCell ref="F53:I53"/>
    <mergeCell ref="G52:H52"/>
    <mergeCell ref="D52:E52"/>
    <mergeCell ref="K2:L2"/>
    <mergeCell ref="C8:G10"/>
    <mergeCell ref="H8:L10"/>
    <mergeCell ref="F48:I48"/>
    <mergeCell ref="C4:G6"/>
    <mergeCell ref="H4:I4"/>
    <mergeCell ref="J4:L6"/>
    <mergeCell ref="I37:J37"/>
    <mergeCell ref="I35:J35"/>
    <mergeCell ref="X2:Y2"/>
    <mergeCell ref="U8:Y10"/>
    <mergeCell ref="AC66:AG67"/>
    <mergeCell ref="U13:X14"/>
    <mergeCell ref="U15:X15"/>
    <mergeCell ref="AK2:AL2"/>
    <mergeCell ref="AJ4:AL6"/>
    <mergeCell ref="AC8:AG10"/>
    <mergeCell ref="AH8:AL10"/>
    <mergeCell ref="AH66:AJ67"/>
    <mergeCell ref="AC4:AG6"/>
    <mergeCell ref="AH4:AI4"/>
    <mergeCell ref="P8:T10"/>
    <mergeCell ref="P4:T6"/>
    <mergeCell ref="U4:V4"/>
    <mergeCell ref="W4:Y6"/>
    <mergeCell ref="Q13:T14"/>
    <mergeCell ref="AE76:AF76"/>
    <mergeCell ref="AC68:AF69"/>
    <mergeCell ref="AC71:AF72"/>
    <mergeCell ref="AC73:AG74"/>
    <mergeCell ref="AG68:AG69"/>
    <mergeCell ref="AG71:AG72"/>
    <mergeCell ref="AE75:AF75"/>
    <mergeCell ref="J55:K56"/>
    <mergeCell ref="Q15:T15"/>
    <mergeCell ref="D49:E50"/>
    <mergeCell ref="D48:E48"/>
    <mergeCell ref="J48:K48"/>
    <mergeCell ref="F49:I49"/>
    <mergeCell ref="F55:F56"/>
    <mergeCell ref="D55:E56"/>
    <mergeCell ref="G55:H56"/>
    <mergeCell ref="I55:I56"/>
  </mergeCells>
  <conditionalFormatting sqref="D55:E56">
    <cfRule type="expression" priority="16" dxfId="1" stopIfTrue="1">
      <formula>$D$52&gt;100%</formula>
    </cfRule>
    <cfRule type="expression" priority="17" dxfId="0" stopIfTrue="1">
      <formula>$D$52&lt;=100%</formula>
    </cfRule>
  </conditionalFormatting>
  <conditionalFormatting sqref="J55:K56">
    <cfRule type="expression" priority="18" dxfId="1" stopIfTrue="1">
      <formula>$J$52&gt;100%</formula>
    </cfRule>
    <cfRule type="expression" priority="19" dxfId="0" stopIfTrue="1">
      <formula>$J$52&lt;=100%</formula>
    </cfRule>
  </conditionalFormatting>
  <conditionalFormatting sqref="D19">
    <cfRule type="expression" priority="1" dxfId="16" stopIfTrue="1">
      <formula>$F$67=1</formula>
    </cfRule>
  </conditionalFormatting>
  <conditionalFormatting sqref="D23">
    <cfRule type="expression" priority="2" dxfId="16" stopIfTrue="1">
      <formula>$F$69=1</formula>
    </cfRule>
  </conditionalFormatting>
  <conditionalFormatting sqref="D15">
    <cfRule type="expression" priority="3" dxfId="16" stopIfTrue="1">
      <formula>$F$68=1</formula>
    </cfRule>
  </conditionalFormatting>
  <conditionalFormatting sqref="AG68:AG70">
    <cfRule type="expression" priority="4" dxfId="7" stopIfTrue="1">
      <formula>$AG$68="VIRHE!"</formula>
    </cfRule>
  </conditionalFormatting>
  <conditionalFormatting sqref="AG71:AG72">
    <cfRule type="expression" priority="5" dxfId="7" stopIfTrue="1">
      <formula>$AG$71="VIRHE!"</formula>
    </cfRule>
  </conditionalFormatting>
  <conditionalFormatting sqref="AG75">
    <cfRule type="expression" priority="6" dxfId="7" stopIfTrue="1">
      <formula>$AE$75="alle 9 Hz"</formula>
    </cfRule>
    <cfRule type="expression" priority="7" dxfId="0" stopIfTrue="1">
      <formula>$AE$75="vähintään 9 Hz"</formula>
    </cfRule>
    <cfRule type="expression" priority="8" dxfId="7" stopIfTrue="1">
      <formula>$AG$75="VIRHE!"</formula>
    </cfRule>
  </conditionalFormatting>
  <conditionalFormatting sqref="AE75:AF75">
    <cfRule type="expression" priority="9" dxfId="7" stopIfTrue="1">
      <formula>$AE$75="alle 9 HZ"</formula>
    </cfRule>
    <cfRule type="expression" priority="10" dxfId="7" stopIfTrue="1">
      <formula>$AE$75="VIRHE!"</formula>
    </cfRule>
  </conditionalFormatting>
  <conditionalFormatting sqref="AE76:AF76">
    <cfRule type="expression" priority="11" dxfId="7" stopIfTrue="1">
      <formula>$AE$76&gt;100%</formula>
    </cfRule>
    <cfRule type="expression" priority="12" dxfId="7" stopIfTrue="1">
      <formula>$AE$76="VIRHE!"</formula>
    </cfRule>
  </conditionalFormatting>
  <conditionalFormatting sqref="I67">
    <cfRule type="expression" priority="13" dxfId="1" stopIfTrue="1">
      <formula>#REF!&gt;0</formula>
    </cfRule>
    <cfRule type="expression" priority="14" dxfId="0" stopIfTrue="1">
      <formula>#REF!=0</formula>
    </cfRule>
  </conditionalFormatting>
  <conditionalFormatting sqref="K37">
    <cfRule type="expression" priority="15" dxfId="4" stopIfTrue="1">
      <formula>$F$74=0</formula>
    </cfRule>
  </conditionalFormatting>
  <printOptions horizontalCentered="1" verticalCentered="1"/>
  <pageMargins left="0" right="0" top="0" bottom="0" header="0" footer="0"/>
  <pageSetup horizontalDpi="600" verticalDpi="600" orientation="landscape" paperSize="9" scale="90" r:id="rId4"/>
  <drawing r:id="rId3"/>
  <legacyDrawing r:id="rId2"/>
</worksheet>
</file>

<file path=xl/worksheets/sheet4.xml><?xml version="1.0" encoding="utf-8"?>
<worksheet xmlns="http://schemas.openxmlformats.org/spreadsheetml/2006/main" xmlns:r="http://schemas.openxmlformats.org/officeDocument/2006/relationships">
  <sheetPr codeName="Taul5"/>
  <dimension ref="A2:X315"/>
  <sheetViews>
    <sheetView showGridLines="0" showRowColHeaders="0" zoomScalePageLayoutView="0" workbookViewId="0" topLeftCell="A1">
      <selection activeCell="E53" sqref="E53"/>
    </sheetView>
  </sheetViews>
  <sheetFormatPr defaultColWidth="9.140625" defaultRowHeight="12.75"/>
  <cols>
    <col min="1" max="3" width="3.140625" style="9" customWidth="1"/>
    <col min="4" max="4" width="9.421875" style="9" customWidth="1"/>
    <col min="5" max="5" width="28.28125" style="9" customWidth="1"/>
    <col min="6" max="9" width="9.421875" style="9" customWidth="1"/>
    <col min="10" max="11" width="3.140625" style="9" customWidth="1"/>
    <col min="12" max="12" width="9.140625" style="9" customWidth="1"/>
    <col min="13" max="16384" width="9.140625" style="95" customWidth="1"/>
  </cols>
  <sheetData>
    <row r="2" spans="2:11" ht="12.75">
      <c r="B2" s="61"/>
      <c r="C2" s="62"/>
      <c r="D2" s="62"/>
      <c r="E2" s="62"/>
      <c r="F2" s="62"/>
      <c r="G2" s="62"/>
      <c r="H2" s="62"/>
      <c r="I2" s="62"/>
      <c r="J2" s="212"/>
      <c r="K2" s="63"/>
    </row>
    <row r="3" spans="2:11" ht="7.5" customHeight="1">
      <c r="B3" s="64"/>
      <c r="C3" s="65"/>
      <c r="D3" s="66"/>
      <c r="E3" s="66"/>
      <c r="F3" s="66"/>
      <c r="G3" s="67"/>
      <c r="H3" s="66"/>
      <c r="I3" s="67"/>
      <c r="J3" s="68"/>
      <c r="K3" s="69"/>
    </row>
    <row r="4" spans="2:23" ht="12" customHeight="1">
      <c r="B4" s="64"/>
      <c r="C4" s="70"/>
      <c r="D4" s="71"/>
      <c r="E4" s="71"/>
      <c r="F4" s="71"/>
      <c r="G4" s="72"/>
      <c r="H4" s="72"/>
      <c r="I4" s="72"/>
      <c r="J4" s="73"/>
      <c r="K4" s="74"/>
      <c r="O4" s="96"/>
      <c r="P4" s="96"/>
      <c r="Q4" s="97"/>
      <c r="R4" s="96"/>
      <c r="S4" s="96"/>
      <c r="T4" s="96"/>
      <c r="U4" s="96"/>
      <c r="V4" s="96"/>
      <c r="W4" s="98"/>
    </row>
    <row r="5" spans="2:23" ht="7.5" customHeight="1">
      <c r="B5" s="64"/>
      <c r="C5" s="70"/>
      <c r="D5" s="71"/>
      <c r="E5" s="71"/>
      <c r="F5" s="71"/>
      <c r="G5" s="75"/>
      <c r="H5" s="75"/>
      <c r="I5" s="71"/>
      <c r="J5" s="73"/>
      <c r="K5" s="74"/>
      <c r="O5" s="98"/>
      <c r="P5" s="98"/>
      <c r="W5" s="98"/>
    </row>
    <row r="6" spans="2:23" ht="12" customHeight="1">
      <c r="B6" s="64"/>
      <c r="C6" s="70"/>
      <c r="D6" s="864" t="s">
        <v>140</v>
      </c>
      <c r="E6" s="865"/>
      <c r="F6" s="865"/>
      <c r="G6" s="865"/>
      <c r="H6" s="865"/>
      <c r="I6" s="865"/>
      <c r="J6" s="73"/>
      <c r="K6" s="74"/>
      <c r="O6" s="98"/>
      <c r="P6" s="98"/>
      <c r="W6" s="98"/>
    </row>
    <row r="7" spans="2:23" ht="7.5" customHeight="1">
      <c r="B7" s="64"/>
      <c r="C7" s="76"/>
      <c r="D7" s="865"/>
      <c r="E7" s="865"/>
      <c r="F7" s="865"/>
      <c r="G7" s="865"/>
      <c r="H7" s="865"/>
      <c r="I7" s="865"/>
      <c r="J7" s="73"/>
      <c r="K7" s="77"/>
      <c r="O7" s="98"/>
      <c r="P7" s="98"/>
      <c r="W7" s="98"/>
    </row>
    <row r="8" spans="2:23" ht="7.5" customHeight="1">
      <c r="B8" s="64"/>
      <c r="C8" s="70"/>
      <c r="D8" s="71"/>
      <c r="E8" s="71"/>
      <c r="F8" s="71"/>
      <c r="G8" s="78"/>
      <c r="H8" s="71"/>
      <c r="I8" s="71"/>
      <c r="J8" s="73"/>
      <c r="K8" s="79"/>
      <c r="O8" s="98"/>
      <c r="P8" s="98"/>
      <c r="W8" s="98"/>
    </row>
    <row r="9" spans="2:23" ht="13.5" customHeight="1">
      <c r="B9" s="64"/>
      <c r="C9" s="70"/>
      <c r="D9" s="38"/>
      <c r="E9" s="80"/>
      <c r="F9" s="71"/>
      <c r="G9" s="71"/>
      <c r="H9" s="71"/>
      <c r="I9" s="71"/>
      <c r="J9" s="73"/>
      <c r="K9" s="79"/>
      <c r="O9" s="96"/>
      <c r="P9" s="98"/>
      <c r="W9" s="98"/>
    </row>
    <row r="10" spans="2:23" ht="9.75" customHeight="1" thickBot="1">
      <c r="B10" s="64"/>
      <c r="C10" s="70"/>
      <c r="D10" s="55"/>
      <c r="E10" s="55"/>
      <c r="F10" s="55"/>
      <c r="G10" s="55"/>
      <c r="H10" s="55"/>
      <c r="I10" s="55"/>
      <c r="J10" s="81"/>
      <c r="K10" s="79"/>
      <c r="O10" s="96"/>
      <c r="P10" s="98"/>
      <c r="W10" s="98"/>
    </row>
    <row r="11" spans="2:23" ht="12.75" customHeight="1">
      <c r="B11" s="64"/>
      <c r="C11" s="82"/>
      <c r="D11" s="188" t="s">
        <v>31</v>
      </c>
      <c r="E11" s="189" t="s">
        <v>150</v>
      </c>
      <c r="F11" s="189" t="s">
        <v>23</v>
      </c>
      <c r="G11" s="189" t="s">
        <v>24</v>
      </c>
      <c r="H11" s="189" t="s">
        <v>120</v>
      </c>
      <c r="I11" s="190" t="s">
        <v>105</v>
      </c>
      <c r="J11" s="73"/>
      <c r="K11" s="77"/>
      <c r="O11" s="96"/>
      <c r="P11" s="98"/>
      <c r="W11" s="98"/>
    </row>
    <row r="12" spans="2:23" ht="12.75" customHeight="1" thickBot="1">
      <c r="B12" s="64"/>
      <c r="C12" s="82"/>
      <c r="D12" s="685">
        <v>14</v>
      </c>
      <c r="E12" s="391" t="str">
        <f>VLOOKUP($D$12,$D$15:$I$57,2)</f>
        <v>Kerto-S 51x300</v>
      </c>
      <c r="F12" s="391">
        <f>VLOOKUP($D$12,$D$15:$I$57,3)</f>
        <v>51</v>
      </c>
      <c r="G12" s="391">
        <f>VLOOKUP($D$12,$D$15:$I$57,4)</f>
        <v>300</v>
      </c>
      <c r="H12" s="391">
        <f>VLOOKUP($D$12,$D$15:$I$57,5)</f>
        <v>13800</v>
      </c>
      <c r="I12" s="348">
        <f>VLOOKUP($D$12,$D$15:$I$57,6)</f>
        <v>510</v>
      </c>
      <c r="J12" s="73"/>
      <c r="K12" s="77"/>
      <c r="O12" s="98"/>
      <c r="P12" s="98"/>
      <c r="W12" s="98"/>
    </row>
    <row r="13" spans="2:23" ht="12.75" customHeight="1" thickBot="1">
      <c r="B13" s="64"/>
      <c r="C13" s="82"/>
      <c r="D13" s="36"/>
      <c r="E13" s="36"/>
      <c r="F13" s="36"/>
      <c r="G13" s="36"/>
      <c r="H13" s="36"/>
      <c r="I13" s="517"/>
      <c r="J13" s="73"/>
      <c r="K13" s="77"/>
      <c r="O13" s="98"/>
      <c r="P13" s="98"/>
      <c r="W13" s="98"/>
    </row>
    <row r="14" spans="2:23" ht="12.75" customHeight="1" thickBot="1">
      <c r="B14" s="64"/>
      <c r="C14" s="82"/>
      <c r="D14" s="103" t="s">
        <v>31</v>
      </c>
      <c r="E14" s="203" t="s">
        <v>150</v>
      </c>
      <c r="F14" s="193" t="s">
        <v>23</v>
      </c>
      <c r="G14" s="193" t="s">
        <v>24</v>
      </c>
      <c r="H14" s="192" t="s">
        <v>120</v>
      </c>
      <c r="I14" s="194" t="s">
        <v>105</v>
      </c>
      <c r="J14" s="84"/>
      <c r="K14" s="77"/>
      <c r="O14" s="98"/>
      <c r="P14" s="98"/>
      <c r="W14" s="98"/>
    </row>
    <row r="15" spans="2:23" ht="12.75" customHeight="1">
      <c r="B15" s="64"/>
      <c r="C15" s="82"/>
      <c r="D15" s="195">
        <v>1</v>
      </c>
      <c r="E15" s="418" t="s">
        <v>145</v>
      </c>
      <c r="F15" s="197">
        <v>48</v>
      </c>
      <c r="G15" s="197">
        <v>173</v>
      </c>
      <c r="H15" s="196">
        <v>11000</v>
      </c>
      <c r="I15" s="198">
        <v>420</v>
      </c>
      <c r="J15" s="84"/>
      <c r="K15" s="77"/>
      <c r="O15" s="98"/>
      <c r="P15" s="98"/>
      <c r="W15" s="98"/>
    </row>
    <row r="16" spans="2:23" ht="12.75" customHeight="1">
      <c r="B16" s="64"/>
      <c r="C16" s="82"/>
      <c r="D16" s="199">
        <v>2</v>
      </c>
      <c r="E16" s="104" t="s">
        <v>147</v>
      </c>
      <c r="F16" s="201">
        <v>48</v>
      </c>
      <c r="G16" s="201">
        <v>198</v>
      </c>
      <c r="H16" s="200">
        <v>11000</v>
      </c>
      <c r="I16" s="105">
        <v>420</v>
      </c>
      <c r="J16" s="84"/>
      <c r="K16" s="77"/>
      <c r="O16" s="98"/>
      <c r="P16" s="98"/>
      <c r="W16" s="98"/>
    </row>
    <row r="17" spans="2:16" ht="12.75" customHeight="1">
      <c r="B17" s="64"/>
      <c r="C17" s="82"/>
      <c r="D17" s="199">
        <v>3</v>
      </c>
      <c r="E17" s="104" t="s">
        <v>146</v>
      </c>
      <c r="F17" s="201">
        <v>48</v>
      </c>
      <c r="G17" s="201">
        <v>223</v>
      </c>
      <c r="H17" s="200">
        <v>11000</v>
      </c>
      <c r="I17" s="105">
        <v>420</v>
      </c>
      <c r="J17" s="84"/>
      <c r="K17" s="85"/>
      <c r="O17" s="98"/>
      <c r="P17" s="98"/>
    </row>
    <row r="18" spans="2:16" ht="12.75" customHeight="1">
      <c r="B18" s="64"/>
      <c r="C18" s="82"/>
      <c r="D18" s="199">
        <v>4</v>
      </c>
      <c r="E18" s="104" t="s">
        <v>151</v>
      </c>
      <c r="F18" s="201">
        <v>48</v>
      </c>
      <c r="G18" s="201">
        <v>248</v>
      </c>
      <c r="H18" s="200">
        <v>11000</v>
      </c>
      <c r="I18" s="105">
        <v>420</v>
      </c>
      <c r="J18" s="84"/>
      <c r="K18" s="85"/>
      <c r="O18" s="98"/>
      <c r="P18" s="98"/>
    </row>
    <row r="19" spans="2:15" ht="12.75" customHeight="1">
      <c r="B19" s="64"/>
      <c r="C19" s="82"/>
      <c r="D19" s="199">
        <v>5</v>
      </c>
      <c r="E19" s="104" t="s">
        <v>48</v>
      </c>
      <c r="F19" s="201">
        <v>50</v>
      </c>
      <c r="G19" s="201">
        <v>175</v>
      </c>
      <c r="H19" s="200">
        <v>11000</v>
      </c>
      <c r="I19" s="105">
        <v>420</v>
      </c>
      <c r="J19" s="84"/>
      <c r="K19" s="77"/>
      <c r="O19" s="98"/>
    </row>
    <row r="20" spans="2:15" ht="12.75" customHeight="1">
      <c r="B20" s="64"/>
      <c r="C20" s="82"/>
      <c r="D20" s="199">
        <v>6</v>
      </c>
      <c r="E20" s="104" t="s">
        <v>49</v>
      </c>
      <c r="F20" s="201">
        <v>50</v>
      </c>
      <c r="G20" s="201">
        <v>200</v>
      </c>
      <c r="H20" s="200">
        <v>11000</v>
      </c>
      <c r="I20" s="105">
        <v>420</v>
      </c>
      <c r="J20" s="84"/>
      <c r="K20" s="77"/>
      <c r="O20" s="98"/>
    </row>
    <row r="21" spans="2:15" ht="12.75" customHeight="1">
      <c r="B21" s="64"/>
      <c r="C21" s="82"/>
      <c r="D21" s="199">
        <v>7</v>
      </c>
      <c r="E21" s="104" t="s">
        <v>148</v>
      </c>
      <c r="F21" s="201">
        <v>50</v>
      </c>
      <c r="G21" s="201">
        <v>225</v>
      </c>
      <c r="H21" s="200">
        <v>11000</v>
      </c>
      <c r="I21" s="105">
        <v>420</v>
      </c>
      <c r="J21" s="84"/>
      <c r="K21" s="77"/>
      <c r="O21" s="98"/>
    </row>
    <row r="22" spans="2:15" ht="12.75" customHeight="1" thickBot="1">
      <c r="B22" s="64"/>
      <c r="C22" s="82"/>
      <c r="D22" s="202">
        <v>8</v>
      </c>
      <c r="E22" s="391" t="s">
        <v>152</v>
      </c>
      <c r="F22" s="336">
        <v>50</v>
      </c>
      <c r="G22" s="336">
        <v>250</v>
      </c>
      <c r="H22" s="335">
        <v>11000</v>
      </c>
      <c r="I22" s="348">
        <v>420</v>
      </c>
      <c r="J22" s="84"/>
      <c r="K22" s="77"/>
      <c r="O22" s="98"/>
    </row>
    <row r="23" spans="2:24" ht="12.75" customHeight="1">
      <c r="B23" s="64"/>
      <c r="C23" s="82"/>
      <c r="D23" s="195">
        <v>9</v>
      </c>
      <c r="E23" s="206" t="s">
        <v>25</v>
      </c>
      <c r="F23" s="197">
        <v>45</v>
      </c>
      <c r="G23" s="197">
        <v>260</v>
      </c>
      <c r="H23" s="196">
        <v>13800</v>
      </c>
      <c r="I23" s="198">
        <v>510</v>
      </c>
      <c r="J23" s="84"/>
      <c r="K23" s="77"/>
      <c r="N23" s="98"/>
      <c r="O23" s="98"/>
      <c r="P23" s="98"/>
      <c r="Q23" s="98"/>
      <c r="R23" s="98"/>
      <c r="S23" s="98"/>
      <c r="T23" s="98"/>
      <c r="U23" s="98"/>
      <c r="V23" s="98"/>
      <c r="W23" s="98"/>
      <c r="X23" s="98"/>
    </row>
    <row r="24" spans="2:24" ht="12.75" customHeight="1">
      <c r="B24" s="64"/>
      <c r="C24" s="82"/>
      <c r="D24" s="199">
        <v>10</v>
      </c>
      <c r="E24" s="104" t="s">
        <v>28</v>
      </c>
      <c r="F24" s="201">
        <v>45</v>
      </c>
      <c r="G24" s="201">
        <v>300</v>
      </c>
      <c r="H24" s="200">
        <v>13800</v>
      </c>
      <c r="I24" s="105">
        <v>510</v>
      </c>
      <c r="J24" s="84"/>
      <c r="K24" s="77"/>
      <c r="N24" s="98"/>
      <c r="O24" s="98"/>
      <c r="P24" s="98"/>
      <c r="Q24" s="98"/>
      <c r="R24" s="98"/>
      <c r="S24" s="98"/>
      <c r="T24" s="98"/>
      <c r="U24" s="98"/>
      <c r="V24" s="98"/>
      <c r="W24" s="98"/>
      <c r="X24" s="98"/>
    </row>
    <row r="25" spans="2:24" ht="12.75" customHeight="1">
      <c r="B25" s="64"/>
      <c r="C25" s="82"/>
      <c r="D25" s="199">
        <v>11</v>
      </c>
      <c r="E25" s="104" t="s">
        <v>29</v>
      </c>
      <c r="F25" s="201">
        <v>45</v>
      </c>
      <c r="G25" s="201">
        <v>360</v>
      </c>
      <c r="H25" s="200">
        <v>13800</v>
      </c>
      <c r="I25" s="105">
        <v>510</v>
      </c>
      <c r="J25" s="84"/>
      <c r="K25" s="77"/>
      <c r="N25" s="98"/>
      <c r="O25" s="98"/>
      <c r="P25" s="15"/>
      <c r="Q25" s="15"/>
      <c r="R25" s="98"/>
      <c r="S25" s="98"/>
      <c r="T25" s="98"/>
      <c r="U25" s="98"/>
      <c r="V25" s="98"/>
      <c r="W25" s="98"/>
      <c r="X25" s="98"/>
    </row>
    <row r="26" spans="2:24" ht="12.75" customHeight="1">
      <c r="B26" s="64"/>
      <c r="C26" s="82"/>
      <c r="D26" s="199">
        <v>12</v>
      </c>
      <c r="E26" s="104" t="s">
        <v>37</v>
      </c>
      <c r="F26" s="201">
        <v>45</v>
      </c>
      <c r="G26" s="201">
        <v>400</v>
      </c>
      <c r="H26" s="200">
        <v>13800</v>
      </c>
      <c r="I26" s="105">
        <v>510</v>
      </c>
      <c r="J26" s="84"/>
      <c r="K26" s="77"/>
      <c r="N26" s="98"/>
      <c r="O26" s="98"/>
      <c r="P26" s="15"/>
      <c r="Q26" s="15"/>
      <c r="R26" s="98"/>
      <c r="S26" s="98"/>
      <c r="T26" s="98"/>
      <c r="U26" s="98"/>
      <c r="V26" s="98"/>
      <c r="W26" s="98"/>
      <c r="X26" s="98"/>
    </row>
    <row r="27" spans="2:24" ht="12.75" customHeight="1">
      <c r="B27" s="64"/>
      <c r="C27" s="82"/>
      <c r="D27" s="199">
        <v>13</v>
      </c>
      <c r="E27" s="104" t="s">
        <v>26</v>
      </c>
      <c r="F27" s="201">
        <v>51</v>
      </c>
      <c r="G27" s="201">
        <v>260</v>
      </c>
      <c r="H27" s="200">
        <v>13800</v>
      </c>
      <c r="I27" s="105">
        <v>510</v>
      </c>
      <c r="J27" s="84"/>
      <c r="K27" s="77"/>
      <c r="N27" s="98"/>
      <c r="O27" s="98"/>
      <c r="P27" s="15"/>
      <c r="Q27" s="15"/>
      <c r="R27" s="98"/>
      <c r="S27" s="98"/>
      <c r="T27" s="98"/>
      <c r="U27" s="98"/>
      <c r="V27" s="98"/>
      <c r="W27" s="98"/>
      <c r="X27" s="98"/>
    </row>
    <row r="28" spans="2:24" ht="12.75" customHeight="1">
      <c r="B28" s="64"/>
      <c r="C28" s="82"/>
      <c r="D28" s="199">
        <v>14</v>
      </c>
      <c r="E28" s="104" t="s">
        <v>27</v>
      </c>
      <c r="F28" s="201">
        <v>51</v>
      </c>
      <c r="G28" s="201">
        <v>300</v>
      </c>
      <c r="H28" s="200">
        <v>13800</v>
      </c>
      <c r="I28" s="105">
        <v>510</v>
      </c>
      <c r="J28" s="84"/>
      <c r="K28" s="77"/>
      <c r="N28" s="98"/>
      <c r="O28" s="98"/>
      <c r="P28" s="15"/>
      <c r="Q28" s="15"/>
      <c r="R28" s="98"/>
      <c r="S28" s="98"/>
      <c r="T28" s="98"/>
      <c r="U28" s="98"/>
      <c r="V28" s="98"/>
      <c r="W28" s="98"/>
      <c r="X28" s="98"/>
    </row>
    <row r="29" spans="2:24" ht="12.75" customHeight="1">
      <c r="B29" s="64"/>
      <c r="C29" s="82"/>
      <c r="D29" s="199">
        <v>15</v>
      </c>
      <c r="E29" s="104" t="s">
        <v>30</v>
      </c>
      <c r="F29" s="201">
        <v>51</v>
      </c>
      <c r="G29" s="201">
        <v>360</v>
      </c>
      <c r="H29" s="200">
        <v>13800</v>
      </c>
      <c r="I29" s="105">
        <v>510</v>
      </c>
      <c r="J29" s="84"/>
      <c r="K29" s="77"/>
      <c r="N29" s="98"/>
      <c r="O29" s="98"/>
      <c r="P29" s="15"/>
      <c r="Q29" s="15"/>
      <c r="R29" s="98"/>
      <c r="S29" s="98"/>
      <c r="T29" s="98"/>
      <c r="U29" s="98"/>
      <c r="V29" s="98"/>
      <c r="W29" s="98"/>
      <c r="X29" s="98"/>
    </row>
    <row r="30" spans="2:24" ht="12.75" customHeight="1" thickBot="1">
      <c r="B30" s="64"/>
      <c r="C30" s="82"/>
      <c r="D30" s="202">
        <v>16</v>
      </c>
      <c r="E30" s="391" t="s">
        <v>36</v>
      </c>
      <c r="F30" s="336">
        <v>51</v>
      </c>
      <c r="G30" s="336">
        <v>400</v>
      </c>
      <c r="H30" s="335">
        <v>13800</v>
      </c>
      <c r="I30" s="348">
        <v>510</v>
      </c>
      <c r="J30" s="84"/>
      <c r="K30" s="77"/>
      <c r="N30" s="98"/>
      <c r="O30" s="98"/>
      <c r="P30" s="15"/>
      <c r="Q30" s="15"/>
      <c r="R30" s="98"/>
      <c r="S30" s="98"/>
      <c r="T30" s="98"/>
      <c r="U30" s="98"/>
      <c r="V30" s="98"/>
      <c r="W30" s="98"/>
      <c r="X30" s="98"/>
    </row>
    <row r="31" spans="2:24" ht="12.75" customHeight="1">
      <c r="B31" s="64"/>
      <c r="C31" s="82"/>
      <c r="D31" s="195">
        <v>17</v>
      </c>
      <c r="E31" s="665" t="s">
        <v>153</v>
      </c>
      <c r="F31" s="666">
        <v>42</v>
      </c>
      <c r="G31" s="666">
        <v>270</v>
      </c>
      <c r="H31" s="667">
        <v>12500</v>
      </c>
      <c r="I31" s="668">
        <v>430</v>
      </c>
      <c r="J31" s="81"/>
      <c r="K31" s="77"/>
      <c r="N31" s="98"/>
      <c r="O31" s="98"/>
      <c r="P31" s="15"/>
      <c r="Q31" s="15"/>
      <c r="R31" s="98"/>
      <c r="S31" s="98"/>
      <c r="T31" s="98"/>
      <c r="U31" s="98"/>
      <c r="V31" s="98"/>
      <c r="W31" s="98"/>
      <c r="X31" s="98"/>
    </row>
    <row r="32" spans="2:24" ht="12.75" customHeight="1">
      <c r="B32" s="64"/>
      <c r="C32" s="82"/>
      <c r="D32" s="199">
        <v>18</v>
      </c>
      <c r="E32" s="665" t="s">
        <v>154</v>
      </c>
      <c r="F32" s="669">
        <v>42</v>
      </c>
      <c r="G32" s="669">
        <v>315</v>
      </c>
      <c r="H32" s="670">
        <v>12500</v>
      </c>
      <c r="I32" s="671">
        <v>430</v>
      </c>
      <c r="J32" s="81"/>
      <c r="K32" s="77"/>
      <c r="N32" s="98"/>
      <c r="O32" s="98"/>
      <c r="P32" s="98"/>
      <c r="Q32" s="98"/>
      <c r="R32" s="98"/>
      <c r="S32" s="98"/>
      <c r="T32" s="98"/>
      <c r="U32" s="98"/>
      <c r="V32" s="98"/>
      <c r="W32" s="98"/>
      <c r="X32" s="98"/>
    </row>
    <row r="33" spans="2:24" ht="12.75" customHeight="1">
      <c r="B33" s="64"/>
      <c r="C33" s="82"/>
      <c r="D33" s="199">
        <v>19</v>
      </c>
      <c r="E33" s="665" t="s">
        <v>155</v>
      </c>
      <c r="F33" s="669">
        <v>42</v>
      </c>
      <c r="G33" s="669">
        <v>360</v>
      </c>
      <c r="H33" s="670">
        <v>12500</v>
      </c>
      <c r="I33" s="671">
        <v>430</v>
      </c>
      <c r="J33" s="84"/>
      <c r="K33" s="77"/>
      <c r="N33" s="98"/>
      <c r="O33" s="98"/>
      <c r="P33" s="98"/>
      <c r="Q33" s="98"/>
      <c r="R33" s="98"/>
      <c r="S33" s="98"/>
      <c r="T33" s="98"/>
      <c r="U33" s="98"/>
      <c r="V33" s="98"/>
      <c r="W33" s="98"/>
      <c r="X33" s="98"/>
    </row>
    <row r="34" spans="2:24" ht="12.75" customHeight="1">
      <c r="B34" s="64"/>
      <c r="C34" s="82"/>
      <c r="D34" s="199">
        <v>20</v>
      </c>
      <c r="E34" s="665" t="s">
        <v>156</v>
      </c>
      <c r="F34" s="669">
        <v>42</v>
      </c>
      <c r="G34" s="669">
        <v>405</v>
      </c>
      <c r="H34" s="670">
        <v>12500</v>
      </c>
      <c r="I34" s="671">
        <v>430</v>
      </c>
      <c r="J34" s="84"/>
      <c r="K34" s="77"/>
      <c r="N34" s="98"/>
      <c r="O34" s="98"/>
      <c r="P34" s="98"/>
      <c r="Q34" s="98"/>
      <c r="R34" s="98"/>
      <c r="S34" s="98"/>
      <c r="T34" s="98"/>
      <c r="U34" s="98"/>
      <c r="V34" s="98"/>
      <c r="W34" s="98"/>
      <c r="X34" s="98"/>
    </row>
    <row r="35" spans="2:24" ht="12.75" customHeight="1">
      <c r="B35" s="64"/>
      <c r="C35" s="82"/>
      <c r="D35" s="199">
        <v>21</v>
      </c>
      <c r="E35" s="665" t="s">
        <v>157</v>
      </c>
      <c r="F35" s="669">
        <v>56</v>
      </c>
      <c r="G35" s="669">
        <v>270</v>
      </c>
      <c r="H35" s="670">
        <v>12500</v>
      </c>
      <c r="I35" s="671">
        <v>430</v>
      </c>
      <c r="J35" s="84"/>
      <c r="K35" s="77"/>
      <c r="N35" s="98"/>
      <c r="O35" s="98"/>
      <c r="P35" s="98"/>
      <c r="Q35" s="98"/>
      <c r="R35" s="98"/>
      <c r="S35" s="98"/>
      <c r="T35" s="98"/>
      <c r="U35" s="98"/>
      <c r="V35" s="98"/>
      <c r="W35" s="98"/>
      <c r="X35" s="98"/>
    </row>
    <row r="36" spans="2:24" ht="12.75" customHeight="1">
      <c r="B36" s="64"/>
      <c r="C36" s="82"/>
      <c r="D36" s="199">
        <v>22</v>
      </c>
      <c r="E36" s="665" t="s">
        <v>158</v>
      </c>
      <c r="F36" s="669">
        <v>56</v>
      </c>
      <c r="G36" s="669">
        <v>315</v>
      </c>
      <c r="H36" s="670">
        <v>12500</v>
      </c>
      <c r="I36" s="671">
        <v>430</v>
      </c>
      <c r="J36" s="84"/>
      <c r="K36" s="77"/>
      <c r="N36" s="98"/>
      <c r="O36" s="98"/>
      <c r="P36" s="98"/>
      <c r="Q36" s="98"/>
      <c r="R36" s="98"/>
      <c r="S36" s="98"/>
      <c r="T36" s="98"/>
      <c r="U36" s="98"/>
      <c r="V36" s="98"/>
      <c r="W36" s="98"/>
      <c r="X36" s="98"/>
    </row>
    <row r="37" spans="2:24" ht="12.75" customHeight="1">
      <c r="B37" s="64"/>
      <c r="C37" s="82"/>
      <c r="D37" s="199">
        <v>23</v>
      </c>
      <c r="E37" s="665" t="s">
        <v>159</v>
      </c>
      <c r="F37" s="669">
        <v>56</v>
      </c>
      <c r="G37" s="669">
        <v>360</v>
      </c>
      <c r="H37" s="670">
        <v>12500</v>
      </c>
      <c r="I37" s="671">
        <v>430</v>
      </c>
      <c r="J37" s="84"/>
      <c r="K37" s="86"/>
      <c r="N37" s="98"/>
      <c r="O37" s="98"/>
      <c r="P37" s="98"/>
      <c r="Q37" s="98"/>
      <c r="R37" s="98"/>
      <c r="S37" s="98"/>
      <c r="T37" s="98"/>
      <c r="U37" s="98"/>
      <c r="V37" s="98"/>
      <c r="W37" s="98"/>
      <c r="X37" s="98"/>
    </row>
    <row r="38" spans="2:24" ht="12.75" customHeight="1">
      <c r="B38" s="64"/>
      <c r="C38" s="82"/>
      <c r="D38" s="199">
        <v>24</v>
      </c>
      <c r="E38" s="665" t="s">
        <v>160</v>
      </c>
      <c r="F38" s="669">
        <v>56</v>
      </c>
      <c r="G38" s="669">
        <v>405</v>
      </c>
      <c r="H38" s="670">
        <v>12500</v>
      </c>
      <c r="I38" s="671">
        <v>430</v>
      </c>
      <c r="J38" s="84"/>
      <c r="K38" s="77"/>
      <c r="N38" s="98"/>
      <c r="O38" s="98"/>
      <c r="P38" s="98"/>
      <c r="Q38" s="98"/>
      <c r="R38" s="98"/>
      <c r="S38" s="98"/>
      <c r="T38" s="98"/>
      <c r="U38" s="98"/>
      <c r="V38" s="98"/>
      <c r="W38" s="98"/>
      <c r="X38" s="98"/>
    </row>
    <row r="39" spans="2:24" ht="12.75" customHeight="1">
      <c r="B39" s="64"/>
      <c r="C39" s="82"/>
      <c r="D39" s="199">
        <v>25</v>
      </c>
      <c r="E39" s="665" t="s">
        <v>161</v>
      </c>
      <c r="F39" s="669">
        <v>66</v>
      </c>
      <c r="G39" s="669">
        <v>270</v>
      </c>
      <c r="H39" s="670">
        <v>12500</v>
      </c>
      <c r="I39" s="671">
        <v>430</v>
      </c>
      <c r="J39" s="84"/>
      <c r="K39" s="77"/>
      <c r="N39" s="98"/>
      <c r="O39" s="98"/>
      <c r="P39" s="24"/>
      <c r="Q39" s="15"/>
      <c r="R39" s="15"/>
      <c r="S39" s="97"/>
      <c r="T39" s="97"/>
      <c r="U39" s="97"/>
      <c r="V39" s="97"/>
      <c r="W39" s="98"/>
      <c r="X39" s="98"/>
    </row>
    <row r="40" spans="2:24" ht="12.75" customHeight="1">
      <c r="B40" s="64"/>
      <c r="C40" s="82"/>
      <c r="D40" s="199">
        <v>26</v>
      </c>
      <c r="E40" s="665" t="s">
        <v>162</v>
      </c>
      <c r="F40" s="669">
        <v>66</v>
      </c>
      <c r="G40" s="669">
        <v>315</v>
      </c>
      <c r="H40" s="670">
        <v>12500</v>
      </c>
      <c r="I40" s="671">
        <v>430</v>
      </c>
      <c r="J40" s="81"/>
      <c r="K40" s="77"/>
      <c r="M40" s="98"/>
      <c r="N40" s="98"/>
      <c r="O40" s="98"/>
      <c r="P40" s="24"/>
      <c r="Q40" s="15"/>
      <c r="R40" s="15"/>
      <c r="S40" s="97"/>
      <c r="T40" s="97"/>
      <c r="U40" s="97"/>
      <c r="V40" s="97"/>
      <c r="W40" s="98"/>
      <c r="X40" s="98"/>
    </row>
    <row r="41" spans="2:24" ht="12.75" customHeight="1">
      <c r="B41" s="64"/>
      <c r="C41" s="82"/>
      <c r="D41" s="199">
        <v>27</v>
      </c>
      <c r="E41" s="665" t="s">
        <v>163</v>
      </c>
      <c r="F41" s="669">
        <v>66</v>
      </c>
      <c r="G41" s="669">
        <v>360</v>
      </c>
      <c r="H41" s="670">
        <v>12500</v>
      </c>
      <c r="I41" s="671">
        <v>430</v>
      </c>
      <c r="J41" s="81"/>
      <c r="K41" s="77"/>
      <c r="M41" s="595"/>
      <c r="N41" s="98"/>
      <c r="O41" s="98"/>
      <c r="P41" s="24"/>
      <c r="Q41" s="15"/>
      <c r="R41" s="15"/>
      <c r="S41" s="97"/>
      <c r="T41" s="97"/>
      <c r="U41" s="97"/>
      <c r="V41" s="97"/>
      <c r="W41" s="98"/>
      <c r="X41" s="98"/>
    </row>
    <row r="42" spans="2:24" ht="12.75" customHeight="1" thickBot="1">
      <c r="B42" s="64"/>
      <c r="C42" s="82"/>
      <c r="D42" s="202">
        <v>28</v>
      </c>
      <c r="E42" s="672" t="s">
        <v>164</v>
      </c>
      <c r="F42" s="673">
        <v>66</v>
      </c>
      <c r="G42" s="673">
        <v>405</v>
      </c>
      <c r="H42" s="674">
        <v>12500</v>
      </c>
      <c r="I42" s="675">
        <v>430</v>
      </c>
      <c r="J42" s="84"/>
      <c r="K42" s="77"/>
      <c r="M42" s="98"/>
      <c r="N42" s="98"/>
      <c r="O42" s="96"/>
      <c r="P42" s="24"/>
      <c r="Q42" s="15"/>
      <c r="R42" s="15"/>
      <c r="S42" s="97"/>
      <c r="T42" s="97"/>
      <c r="U42" s="97"/>
      <c r="V42" s="97"/>
      <c r="W42" s="98"/>
      <c r="X42" s="98"/>
    </row>
    <row r="43" spans="2:24" ht="12.75" customHeight="1">
      <c r="B43" s="64"/>
      <c r="C43" s="82"/>
      <c r="D43" s="195">
        <v>29</v>
      </c>
      <c r="E43" s="676" t="s">
        <v>165</v>
      </c>
      <c r="F43" s="666">
        <v>42</v>
      </c>
      <c r="G43" s="666">
        <v>250</v>
      </c>
      <c r="H43" s="677">
        <f>IF(Mitoitus!$H$36&gt;12*G43,(MIN(1.15,(1+(0.025*(Mitoitus!$H$36-12*G43))/G43))*6950),6950)</f>
        <v>7992.499999999999</v>
      </c>
      <c r="I43" s="668">
        <v>450</v>
      </c>
      <c r="J43" s="84" t="s">
        <v>425</v>
      </c>
      <c r="K43" s="77"/>
      <c r="M43" s="98"/>
      <c r="N43" s="97"/>
      <c r="O43" s="96"/>
      <c r="P43" s="96"/>
      <c r="Q43" s="96"/>
      <c r="R43" s="96"/>
      <c r="S43" s="96"/>
      <c r="T43" s="96"/>
      <c r="U43" s="96"/>
      <c r="V43" s="98"/>
      <c r="W43" s="98"/>
      <c r="X43" s="98"/>
    </row>
    <row r="44" spans="2:24" ht="12.75" customHeight="1">
      <c r="B44" s="64"/>
      <c r="C44" s="82"/>
      <c r="D44" s="199">
        <v>30</v>
      </c>
      <c r="E44" s="665" t="s">
        <v>166</v>
      </c>
      <c r="F44" s="669">
        <v>42</v>
      </c>
      <c r="G44" s="669">
        <v>300</v>
      </c>
      <c r="H44" s="678">
        <f>IF(Mitoitus!$H$36&gt;12*G44,(MIN(1.15,(1+(0.025*(Mitoitus!$H$36-12*G44))/G44))*6700),6700)</f>
        <v>7481.666666666667</v>
      </c>
      <c r="I44" s="671">
        <v>450</v>
      </c>
      <c r="J44" s="84" t="s">
        <v>425</v>
      </c>
      <c r="K44" s="77"/>
      <c r="M44" s="98"/>
      <c r="N44" s="97"/>
      <c r="O44" s="98"/>
      <c r="P44" s="12"/>
      <c r="Q44" s="98"/>
      <c r="R44" s="98"/>
      <c r="S44" s="98"/>
      <c r="T44" s="98"/>
      <c r="U44" s="98"/>
      <c r="V44" s="98"/>
      <c r="W44" s="98"/>
      <c r="X44" s="98"/>
    </row>
    <row r="45" spans="2:24" ht="12.75" customHeight="1">
      <c r="B45" s="64"/>
      <c r="C45" s="82"/>
      <c r="D45" s="199">
        <v>31</v>
      </c>
      <c r="E45" s="665" t="s">
        <v>167</v>
      </c>
      <c r="F45" s="669">
        <v>42</v>
      </c>
      <c r="G45" s="669">
        <v>350</v>
      </c>
      <c r="H45" s="678">
        <f>IF(Mitoitus!$H$36&gt;12*G45,(MIN(1.15,(1+(0.025*(Mitoitus!$H$36-12*G45))/G45))*6450),6450)</f>
        <v>6818.571428571428</v>
      </c>
      <c r="I45" s="671">
        <v>450</v>
      </c>
      <c r="J45" s="84" t="s">
        <v>425</v>
      </c>
      <c r="K45" s="77"/>
      <c r="M45" s="98"/>
      <c r="N45" s="97"/>
      <c r="O45" s="98"/>
      <c r="P45" s="12"/>
      <c r="Q45" s="98"/>
      <c r="R45" s="98"/>
      <c r="S45" s="98"/>
      <c r="T45" s="98"/>
      <c r="U45" s="98"/>
      <c r="V45" s="98"/>
      <c r="W45" s="98"/>
      <c r="X45" s="98"/>
    </row>
    <row r="46" spans="2:24" ht="12.75" customHeight="1">
      <c r="B46" s="64"/>
      <c r="C46" s="82"/>
      <c r="D46" s="199">
        <v>32</v>
      </c>
      <c r="E46" s="665" t="s">
        <v>168</v>
      </c>
      <c r="F46" s="669">
        <v>42</v>
      </c>
      <c r="G46" s="669">
        <v>400</v>
      </c>
      <c r="H46" s="678">
        <f>IF(Mitoitus!$H$36&gt;12*G46,(MIN(1.15,(1+(0.025*(Mitoitus!$H$36-12*G46))/G46))*6150),6150)</f>
        <v>6226.875</v>
      </c>
      <c r="I46" s="671">
        <v>450</v>
      </c>
      <c r="J46" s="84" t="s">
        <v>425</v>
      </c>
      <c r="K46" s="77"/>
      <c r="M46" s="98"/>
      <c r="N46" s="97"/>
      <c r="O46" s="98"/>
      <c r="P46" s="12"/>
      <c r="Q46" s="98"/>
      <c r="R46" s="98"/>
      <c r="S46" s="98"/>
      <c r="T46" s="98"/>
      <c r="U46" s="98"/>
      <c r="V46" s="98"/>
      <c r="W46" s="98"/>
      <c r="X46" s="98"/>
    </row>
    <row r="47" spans="2:24" ht="12.75" customHeight="1">
      <c r="B47" s="64"/>
      <c r="C47" s="82"/>
      <c r="D47" s="199">
        <v>33</v>
      </c>
      <c r="E47" s="676" t="s">
        <v>169</v>
      </c>
      <c r="F47" s="669">
        <v>42</v>
      </c>
      <c r="G47" s="669">
        <v>450</v>
      </c>
      <c r="H47" s="678">
        <f>IF(Mitoitus!$H$36&gt;12*G47,(MIN(1.15,(1+(0.025*(Mitoitus!$H$36-12*G47))/G47))*5850),5850)</f>
        <v>5850</v>
      </c>
      <c r="I47" s="671">
        <v>450</v>
      </c>
      <c r="J47" s="84" t="s">
        <v>425</v>
      </c>
      <c r="K47" s="77"/>
      <c r="M47" s="98"/>
      <c r="N47" s="97"/>
      <c r="O47" s="98"/>
      <c r="P47" s="12"/>
      <c r="Q47" s="98"/>
      <c r="R47" s="98"/>
      <c r="S47" s="98"/>
      <c r="T47" s="98"/>
      <c r="U47" s="98"/>
      <c r="V47" s="98"/>
      <c r="W47" s="98"/>
      <c r="X47" s="98"/>
    </row>
    <row r="48" spans="2:24" ht="12.75" customHeight="1">
      <c r="B48" s="64"/>
      <c r="C48" s="82"/>
      <c r="D48" s="199">
        <v>34</v>
      </c>
      <c r="E48" s="665" t="s">
        <v>170</v>
      </c>
      <c r="F48" s="669">
        <v>45</v>
      </c>
      <c r="G48" s="669">
        <v>250</v>
      </c>
      <c r="H48" s="678">
        <f>IF(Mitoitus!$H$36&gt;12*G48,(MIN(1.15,(1+(0.025*(Mitoitus!$H$36-12*G48))/G48))*6800),6800)</f>
        <v>7819.999999999999</v>
      </c>
      <c r="I48" s="671">
        <v>450</v>
      </c>
      <c r="J48" s="84" t="s">
        <v>425</v>
      </c>
      <c r="K48" s="77"/>
      <c r="M48" s="98"/>
      <c r="N48" s="97"/>
      <c r="O48" s="98"/>
      <c r="P48" s="12"/>
      <c r="Q48" s="98"/>
      <c r="R48" s="98"/>
      <c r="S48" s="98"/>
      <c r="T48" s="98"/>
      <c r="U48" s="98"/>
      <c r="V48" s="98"/>
      <c r="W48" s="98"/>
      <c r="X48" s="98"/>
    </row>
    <row r="49" spans="2:24" ht="12.75" customHeight="1">
      <c r="B49" s="64"/>
      <c r="C49" s="82"/>
      <c r="D49" s="199">
        <v>35</v>
      </c>
      <c r="E49" s="665" t="s">
        <v>171</v>
      </c>
      <c r="F49" s="669">
        <v>45</v>
      </c>
      <c r="G49" s="669">
        <v>300</v>
      </c>
      <c r="H49" s="678">
        <f>IF(Mitoitus!$H$36&gt;12*G49,(MIN(1.15,(1+(0.025*(Mitoitus!$H$36-12*G49))/G49))*6550),6550)</f>
        <v>7314.166666666667</v>
      </c>
      <c r="I49" s="671">
        <v>450</v>
      </c>
      <c r="J49" s="84" t="s">
        <v>425</v>
      </c>
      <c r="K49" s="77"/>
      <c r="M49" s="98"/>
      <c r="N49" s="97"/>
      <c r="O49" s="98"/>
      <c r="P49" s="12"/>
      <c r="Q49" s="98"/>
      <c r="R49" s="98"/>
      <c r="S49" s="98"/>
      <c r="T49" s="98"/>
      <c r="U49" s="98"/>
      <c r="V49" s="98"/>
      <c r="W49" s="98"/>
      <c r="X49" s="98"/>
    </row>
    <row r="50" spans="2:24" ht="12.75" customHeight="1">
      <c r="B50" s="64"/>
      <c r="C50" s="82"/>
      <c r="D50" s="199">
        <v>36</v>
      </c>
      <c r="E50" s="665" t="s">
        <v>172</v>
      </c>
      <c r="F50" s="669">
        <v>45</v>
      </c>
      <c r="G50" s="669">
        <v>350</v>
      </c>
      <c r="H50" s="678">
        <f>IF(Mitoitus!$H$36&gt;12*G50,(MIN(1.15,(1+(0.025*(Mitoitus!$H$36-12*G50))/G50))*6300),6300)</f>
        <v>6660</v>
      </c>
      <c r="I50" s="671">
        <v>450</v>
      </c>
      <c r="J50" s="84" t="s">
        <v>425</v>
      </c>
      <c r="K50" s="77"/>
      <c r="M50" s="98"/>
      <c r="N50" s="97"/>
      <c r="O50" s="98"/>
      <c r="P50" s="15"/>
      <c r="Q50" s="15"/>
      <c r="R50" s="98"/>
      <c r="S50" s="98"/>
      <c r="T50" s="98"/>
      <c r="U50" s="98"/>
      <c r="V50" s="98"/>
      <c r="W50" s="98"/>
      <c r="X50" s="98"/>
    </row>
    <row r="51" spans="2:24" ht="12.75" customHeight="1">
      <c r="B51" s="64"/>
      <c r="C51" s="82"/>
      <c r="D51" s="199">
        <v>37</v>
      </c>
      <c r="E51" s="665" t="s">
        <v>173</v>
      </c>
      <c r="F51" s="669">
        <v>45</v>
      </c>
      <c r="G51" s="669">
        <v>400</v>
      </c>
      <c r="H51" s="678">
        <f>IF(Mitoitus!$H$36&gt;12*G51,(MIN(1.15,(1+(0.025*(Mitoitus!$H$36-12*G51))/G51))*6050),6050)</f>
        <v>6125.625</v>
      </c>
      <c r="I51" s="671">
        <v>450</v>
      </c>
      <c r="J51" s="84" t="s">
        <v>425</v>
      </c>
      <c r="K51" s="77"/>
      <c r="M51" s="98"/>
      <c r="N51" s="97"/>
      <c r="O51" s="98"/>
      <c r="P51" s="15"/>
      <c r="Q51" s="15"/>
      <c r="R51" s="98"/>
      <c r="S51" s="98"/>
      <c r="T51" s="98"/>
      <c r="U51" s="98"/>
      <c r="V51" s="98"/>
      <c r="W51" s="98"/>
      <c r="X51" s="98"/>
    </row>
    <row r="52" spans="2:24" ht="12.75" customHeight="1" thickBot="1">
      <c r="B52" s="64"/>
      <c r="C52" s="82"/>
      <c r="D52" s="202">
        <v>38</v>
      </c>
      <c r="E52" s="672" t="s">
        <v>174</v>
      </c>
      <c r="F52" s="673">
        <v>45</v>
      </c>
      <c r="G52" s="673">
        <v>450</v>
      </c>
      <c r="H52" s="679">
        <f>IF(Mitoitus!$H$36&gt;12*G52,(MIN(1.15,(1+(0.025*(Mitoitus!$H$36-12*G52))/G52))*5750),5750)</f>
        <v>5750</v>
      </c>
      <c r="I52" s="675">
        <v>450</v>
      </c>
      <c r="J52" s="84" t="s">
        <v>425</v>
      </c>
      <c r="K52" s="77"/>
      <c r="M52" s="98"/>
      <c r="N52" s="98"/>
      <c r="O52" s="98"/>
      <c r="P52" s="98"/>
      <c r="Q52" s="98"/>
      <c r="R52" s="98"/>
      <c r="S52" s="98"/>
      <c r="T52" s="98"/>
      <c r="U52" s="98"/>
      <c r="V52" s="98"/>
      <c r="W52" s="98"/>
      <c r="X52" s="98"/>
    </row>
    <row r="53" spans="2:24" ht="12.75" customHeight="1">
      <c r="B53" s="64"/>
      <c r="C53" s="82"/>
      <c r="D53" s="199">
        <v>39</v>
      </c>
      <c r="E53" s="606" t="s">
        <v>311</v>
      </c>
      <c r="F53" s="337"/>
      <c r="G53" s="337"/>
      <c r="H53" s="338"/>
      <c r="I53" s="349"/>
      <c r="J53" s="73"/>
      <c r="K53" s="77"/>
      <c r="M53" s="98"/>
      <c r="N53" s="98"/>
      <c r="O53" s="98"/>
      <c r="P53" s="15"/>
      <c r="Q53" s="15"/>
      <c r="R53" s="98"/>
      <c r="S53" s="98"/>
      <c r="T53" s="98"/>
      <c r="U53" s="98"/>
      <c r="V53" s="98"/>
      <c r="W53" s="98"/>
      <c r="X53" s="98"/>
    </row>
    <row r="54" spans="2:24" ht="12.75" customHeight="1">
      <c r="B54" s="64"/>
      <c r="C54" s="82"/>
      <c r="D54" s="199">
        <v>40</v>
      </c>
      <c r="E54" s="606" t="s">
        <v>311</v>
      </c>
      <c r="F54" s="208"/>
      <c r="G54" s="208"/>
      <c r="H54" s="338"/>
      <c r="I54" s="350"/>
      <c r="J54" s="73"/>
      <c r="K54" s="77"/>
      <c r="N54" s="98"/>
      <c r="O54" s="98"/>
      <c r="P54" s="15"/>
      <c r="Q54" s="15"/>
      <c r="R54" s="98"/>
      <c r="S54" s="98"/>
      <c r="T54" s="98"/>
      <c r="U54" s="98"/>
      <c r="V54" s="98"/>
      <c r="W54" s="98"/>
      <c r="X54" s="98"/>
    </row>
    <row r="55" spans="2:24" ht="12.75" customHeight="1">
      <c r="B55" s="64"/>
      <c r="C55" s="132"/>
      <c r="D55" s="199">
        <v>41</v>
      </c>
      <c r="E55" s="606" t="s">
        <v>311</v>
      </c>
      <c r="F55" s="208"/>
      <c r="G55" s="208"/>
      <c r="H55" s="338"/>
      <c r="I55" s="350"/>
      <c r="J55" s="45"/>
      <c r="K55" s="77"/>
      <c r="N55" s="98"/>
      <c r="O55" s="98"/>
      <c r="P55" s="98"/>
      <c r="Q55" s="98"/>
      <c r="R55" s="98"/>
      <c r="S55" s="98"/>
      <c r="T55" s="98"/>
      <c r="U55" s="98"/>
      <c r="V55" s="98"/>
      <c r="W55" s="98"/>
      <c r="X55" s="98"/>
    </row>
    <row r="56" spans="2:24" ht="12.75" customHeight="1">
      <c r="B56" s="64"/>
      <c r="C56" s="132"/>
      <c r="D56" s="199">
        <v>42</v>
      </c>
      <c r="E56" s="606" t="s">
        <v>311</v>
      </c>
      <c r="F56" s="208"/>
      <c r="G56" s="208"/>
      <c r="H56" s="338"/>
      <c r="I56" s="350"/>
      <c r="J56" s="45"/>
      <c r="K56" s="77"/>
      <c r="N56" s="98"/>
      <c r="O56" s="98"/>
      <c r="P56" s="98"/>
      <c r="Q56" s="98"/>
      <c r="R56" s="98"/>
      <c r="S56" s="98"/>
      <c r="T56" s="98"/>
      <c r="U56" s="98"/>
      <c r="V56" s="98"/>
      <c r="W56" s="98"/>
      <c r="X56" s="98"/>
    </row>
    <row r="57" spans="2:24" ht="12.75" customHeight="1" thickBot="1">
      <c r="B57" s="64"/>
      <c r="C57" s="42"/>
      <c r="D57" s="202">
        <v>43</v>
      </c>
      <c r="E57" s="681" t="s">
        <v>311</v>
      </c>
      <c r="F57" s="401"/>
      <c r="G57" s="401"/>
      <c r="H57" s="402"/>
      <c r="I57" s="403"/>
      <c r="J57" s="45"/>
      <c r="K57" s="77"/>
      <c r="N57" s="98"/>
      <c r="O57" s="98"/>
      <c r="P57" s="98"/>
      <c r="Q57" s="98"/>
      <c r="R57" s="98"/>
      <c r="S57" s="98"/>
      <c r="T57" s="98"/>
      <c r="U57" s="98"/>
      <c r="V57" s="98"/>
      <c r="W57" s="98"/>
      <c r="X57" s="98"/>
    </row>
    <row r="58" spans="2:11" ht="12.75" customHeight="1">
      <c r="B58" s="64"/>
      <c r="C58" s="70"/>
      <c r="D58" s="417" t="s">
        <v>426</v>
      </c>
      <c r="E58" s="35"/>
      <c r="F58" s="680"/>
      <c r="G58" s="680"/>
      <c r="H58" s="680"/>
      <c r="I58" s="680"/>
      <c r="J58" s="73"/>
      <c r="K58" s="77"/>
    </row>
    <row r="59" spans="2:11" ht="12.75" customHeight="1">
      <c r="B59" s="64"/>
      <c r="C59" s="87"/>
      <c r="D59" s="88"/>
      <c r="E59" s="88"/>
      <c r="F59" s="88"/>
      <c r="G59" s="89"/>
      <c r="H59" s="88"/>
      <c r="I59" s="88"/>
      <c r="J59" s="90"/>
      <c r="K59" s="77"/>
    </row>
    <row r="60" spans="2:11" ht="12.75" customHeight="1" thickBot="1">
      <c r="B60" s="91"/>
      <c r="C60" s="92"/>
      <c r="D60" s="92"/>
      <c r="E60" s="92"/>
      <c r="F60" s="92"/>
      <c r="G60" s="92"/>
      <c r="H60" s="92"/>
      <c r="I60" s="92"/>
      <c r="J60" s="92"/>
      <c r="K60" s="93"/>
    </row>
    <row r="61" ht="12.75" customHeight="1" thickTop="1"/>
    <row r="62" ht="12.75" customHeight="1"/>
    <row r="63" spans="1:11" ht="12.75" customHeight="1">
      <c r="A63" s="20"/>
      <c r="B63" s="20"/>
      <c r="C63" s="20"/>
      <c r="D63" s="20"/>
      <c r="E63" s="20"/>
      <c r="F63" s="20"/>
      <c r="G63" s="20"/>
      <c r="H63" s="20"/>
      <c r="I63" s="20"/>
      <c r="J63" s="20"/>
      <c r="K63" s="20"/>
    </row>
    <row r="64" spans="1:11" ht="12.75" customHeight="1">
      <c r="A64" s="20"/>
      <c r="B64" s="17"/>
      <c r="C64" s="17"/>
      <c r="D64" s="30"/>
      <c r="E64" s="17"/>
      <c r="F64" s="18"/>
      <c r="G64" s="17"/>
      <c r="H64" s="17"/>
      <c r="I64" s="17"/>
      <c r="J64" s="20"/>
      <c r="K64" s="20"/>
    </row>
    <row r="65" spans="1:11" ht="12.75" customHeight="1">
      <c r="A65" s="20"/>
      <c r="B65" s="17"/>
      <c r="C65" s="17"/>
      <c r="D65" s="17"/>
      <c r="E65" s="17"/>
      <c r="F65" s="17"/>
      <c r="G65" s="17"/>
      <c r="H65" s="17"/>
      <c r="I65" s="17"/>
      <c r="J65" s="20"/>
      <c r="K65" s="20"/>
    </row>
    <row r="66" spans="1:11" ht="12.75" customHeight="1">
      <c r="A66" s="20"/>
      <c r="B66" s="17"/>
      <c r="C66" s="17"/>
      <c r="D66" s="17"/>
      <c r="E66" s="17"/>
      <c r="F66" s="17"/>
      <c r="G66" s="17"/>
      <c r="H66" s="17"/>
      <c r="I66" s="17"/>
      <c r="J66" s="20"/>
      <c r="K66" s="20"/>
    </row>
    <row r="67" spans="1:11" ht="12.75" customHeight="1">
      <c r="A67" s="20"/>
      <c r="B67" s="17"/>
      <c r="C67" s="17"/>
      <c r="D67" s="17"/>
      <c r="E67" s="17"/>
      <c r="F67" s="17"/>
      <c r="G67" s="17"/>
      <c r="H67" s="17"/>
      <c r="I67" s="17"/>
      <c r="J67" s="20"/>
      <c r="K67" s="20"/>
    </row>
    <row r="68" spans="1:12" ht="12.75" customHeight="1">
      <c r="A68" s="20"/>
      <c r="B68" s="17"/>
      <c r="C68" s="17"/>
      <c r="D68" s="17"/>
      <c r="E68" s="17"/>
      <c r="F68" s="17"/>
      <c r="G68" s="17"/>
      <c r="H68" s="17"/>
      <c r="I68" s="17"/>
      <c r="J68" s="17"/>
      <c r="K68" s="17"/>
      <c r="L68" s="12"/>
    </row>
    <row r="69" spans="1:12" ht="12.75" customHeight="1">
      <c r="A69" s="20"/>
      <c r="B69" s="17"/>
      <c r="C69" s="17"/>
      <c r="D69" s="30"/>
      <c r="E69" s="17"/>
      <c r="F69" s="18"/>
      <c r="G69" s="17"/>
      <c r="H69" s="17"/>
      <c r="I69" s="17"/>
      <c r="J69" s="17"/>
      <c r="K69" s="17"/>
      <c r="L69" s="12"/>
    </row>
    <row r="70" spans="1:12" ht="12.75" customHeight="1">
      <c r="A70" s="20"/>
      <c r="B70" s="17"/>
      <c r="C70" s="17"/>
      <c r="D70" s="17"/>
      <c r="E70" s="17"/>
      <c r="F70" s="18"/>
      <c r="G70" s="17"/>
      <c r="H70" s="17"/>
      <c r="I70" s="17"/>
      <c r="J70" s="17"/>
      <c r="K70" s="17"/>
      <c r="L70" s="12"/>
    </row>
    <row r="71" spans="1:12" ht="12.75" customHeight="1">
      <c r="A71" s="20"/>
      <c r="B71" s="17"/>
      <c r="C71" s="17"/>
      <c r="D71" s="17"/>
      <c r="E71" s="17"/>
      <c r="F71" s="18"/>
      <c r="G71" s="17"/>
      <c r="H71" s="17"/>
      <c r="I71" s="17"/>
      <c r="J71" s="17"/>
      <c r="K71" s="17"/>
      <c r="L71" s="12"/>
    </row>
    <row r="72" spans="1:12" ht="12.75" customHeight="1">
      <c r="A72" s="20"/>
      <c r="B72" s="17"/>
      <c r="C72" s="17"/>
      <c r="D72" s="17"/>
      <c r="E72" s="17"/>
      <c r="F72" s="17"/>
      <c r="G72" s="29"/>
      <c r="H72" s="17"/>
      <c r="I72" s="17"/>
      <c r="J72" s="17"/>
      <c r="K72" s="17"/>
      <c r="L72" s="12"/>
    </row>
    <row r="73" spans="1:12" ht="12.75" customHeight="1">
      <c r="A73" s="20"/>
      <c r="B73" s="17"/>
      <c r="C73" s="17"/>
      <c r="D73" s="17"/>
      <c r="E73" s="17"/>
      <c r="F73" s="17"/>
      <c r="G73" s="29"/>
      <c r="H73" s="17"/>
      <c r="I73" s="17"/>
      <c r="J73" s="17"/>
      <c r="K73" s="17"/>
      <c r="L73" s="12"/>
    </row>
    <row r="74" spans="1:12" ht="12.75" customHeight="1">
      <c r="A74" s="20"/>
      <c r="B74" s="17"/>
      <c r="C74" s="17"/>
      <c r="D74" s="17"/>
      <c r="E74" s="17"/>
      <c r="F74" s="17"/>
      <c r="G74" s="17"/>
      <c r="H74" s="17"/>
      <c r="I74" s="17"/>
      <c r="J74" s="17"/>
      <c r="K74" s="17"/>
      <c r="L74" s="12"/>
    </row>
    <row r="75" spans="1:12" ht="12.75" customHeight="1">
      <c r="A75" s="20"/>
      <c r="B75" s="17"/>
      <c r="C75" s="17"/>
      <c r="D75" s="30"/>
      <c r="E75" s="17"/>
      <c r="F75" s="18"/>
      <c r="G75" s="17"/>
      <c r="H75" s="17"/>
      <c r="I75" s="17"/>
      <c r="J75" s="17"/>
      <c r="K75" s="17"/>
      <c r="L75" s="12"/>
    </row>
    <row r="76" spans="1:12" ht="12.75" customHeight="1">
      <c r="A76" s="20"/>
      <c r="B76" s="17"/>
      <c r="C76" s="17"/>
      <c r="D76" s="17"/>
      <c r="E76" s="17"/>
      <c r="F76" s="17"/>
      <c r="G76" s="17"/>
      <c r="H76" s="17"/>
      <c r="I76" s="17"/>
      <c r="J76" s="17"/>
      <c r="K76" s="17"/>
      <c r="L76" s="12"/>
    </row>
    <row r="77" spans="1:12" ht="12.75" customHeight="1">
      <c r="A77" s="20"/>
      <c r="B77" s="17"/>
      <c r="C77" s="17"/>
      <c r="D77" s="17"/>
      <c r="E77" s="17"/>
      <c r="F77" s="17"/>
      <c r="G77" s="17"/>
      <c r="H77" s="17"/>
      <c r="I77" s="17"/>
      <c r="J77" s="17"/>
      <c r="K77" s="17"/>
      <c r="L77" s="12"/>
    </row>
    <row r="78" spans="1:12" ht="12.75" customHeight="1">
      <c r="A78" s="20"/>
      <c r="B78" s="17"/>
      <c r="C78" s="17"/>
      <c r="D78" s="17"/>
      <c r="E78" s="17"/>
      <c r="F78" s="17"/>
      <c r="G78" s="17"/>
      <c r="H78" s="17"/>
      <c r="I78" s="17"/>
      <c r="J78" s="17"/>
      <c r="K78" s="17"/>
      <c r="L78" s="12"/>
    </row>
    <row r="79" spans="1:12" ht="12.75" customHeight="1">
      <c r="A79" s="20"/>
      <c r="B79" s="17"/>
      <c r="C79" s="17"/>
      <c r="D79" s="17"/>
      <c r="E79" s="17"/>
      <c r="F79" s="17"/>
      <c r="G79" s="17"/>
      <c r="H79" s="17"/>
      <c r="I79" s="17"/>
      <c r="J79" s="17"/>
      <c r="K79" s="17"/>
      <c r="L79" s="12"/>
    </row>
    <row r="80" spans="1:12" ht="12.75" customHeight="1">
      <c r="A80" s="20"/>
      <c r="B80" s="17"/>
      <c r="C80" s="17"/>
      <c r="D80" s="17"/>
      <c r="E80" s="17"/>
      <c r="F80" s="17"/>
      <c r="G80" s="17"/>
      <c r="H80" s="17"/>
      <c r="I80" s="17"/>
      <c r="J80" s="17"/>
      <c r="K80" s="17"/>
      <c r="L80" s="12"/>
    </row>
    <row r="81" spans="1:12" ht="12.75" customHeight="1">
      <c r="A81" s="20"/>
      <c r="B81" s="17"/>
      <c r="C81" s="17"/>
      <c r="D81" s="30"/>
      <c r="E81" s="17"/>
      <c r="F81" s="18"/>
      <c r="G81" s="17"/>
      <c r="H81" s="17"/>
      <c r="I81" s="17"/>
      <c r="J81" s="17"/>
      <c r="K81" s="17"/>
      <c r="L81" s="12"/>
    </row>
    <row r="82" spans="1:12" ht="12.75" customHeight="1">
      <c r="A82" s="20"/>
      <c r="B82" s="17"/>
      <c r="C82" s="17"/>
      <c r="D82" s="25"/>
      <c r="E82" s="17"/>
      <c r="F82" s="18"/>
      <c r="G82" s="17"/>
      <c r="H82" s="17"/>
      <c r="I82" s="17"/>
      <c r="J82" s="17"/>
      <c r="K82" s="17"/>
      <c r="L82" s="12"/>
    </row>
    <row r="83" spans="1:12" ht="12.75" customHeight="1">
      <c r="A83" s="20"/>
      <c r="B83" s="17"/>
      <c r="C83" s="17"/>
      <c r="D83" s="17"/>
      <c r="E83" s="17"/>
      <c r="F83" s="18"/>
      <c r="G83" s="17"/>
      <c r="H83" s="17"/>
      <c r="I83" s="17"/>
      <c r="J83" s="17"/>
      <c r="K83" s="17"/>
      <c r="L83" s="12"/>
    </row>
    <row r="84" spans="1:12" ht="12.75" customHeight="1">
      <c r="A84" s="20"/>
      <c r="B84" s="17"/>
      <c r="C84" s="17"/>
      <c r="D84" s="17"/>
      <c r="E84" s="17"/>
      <c r="F84" s="17"/>
      <c r="G84" s="17"/>
      <c r="H84" s="17"/>
      <c r="I84" s="17"/>
      <c r="J84" s="17"/>
      <c r="K84" s="17"/>
      <c r="L84" s="12"/>
    </row>
    <row r="85" spans="1:12" ht="12.75" customHeight="1">
      <c r="A85" s="20"/>
      <c r="B85" s="17"/>
      <c r="C85" s="17"/>
      <c r="D85" s="31"/>
      <c r="E85" s="12"/>
      <c r="F85" s="12"/>
      <c r="G85" s="12"/>
      <c r="H85" s="17"/>
      <c r="I85" s="17"/>
      <c r="J85" s="17"/>
      <c r="K85" s="17"/>
      <c r="L85" s="12"/>
    </row>
    <row r="86" spans="1:12" ht="12.75" customHeight="1">
      <c r="A86" s="20"/>
      <c r="B86" s="17"/>
      <c r="C86" s="17"/>
      <c r="D86" s="25"/>
      <c r="E86" s="17"/>
      <c r="F86" s="22"/>
      <c r="G86" s="29"/>
      <c r="H86" s="18"/>
      <c r="I86" s="17"/>
      <c r="J86" s="22"/>
      <c r="K86" s="22"/>
      <c r="L86" s="12"/>
    </row>
    <row r="87" spans="1:12" ht="12.75" customHeight="1">
      <c r="A87" s="20"/>
      <c r="B87" s="17"/>
      <c r="C87" s="17"/>
      <c r="D87" s="19"/>
      <c r="E87" s="17"/>
      <c r="F87" s="21"/>
      <c r="G87" s="29"/>
      <c r="H87" s="18"/>
      <c r="I87" s="17"/>
      <c r="J87" s="17"/>
      <c r="K87" s="17"/>
      <c r="L87" s="12"/>
    </row>
    <row r="88" spans="1:12" ht="12.75" customHeight="1">
      <c r="A88" s="20"/>
      <c r="B88" s="17"/>
      <c r="C88" s="17"/>
      <c r="D88" s="19"/>
      <c r="E88" s="17"/>
      <c r="F88" s="21"/>
      <c r="G88" s="29"/>
      <c r="H88" s="18"/>
      <c r="I88" s="17"/>
      <c r="J88" s="17"/>
      <c r="K88" s="17"/>
      <c r="L88" s="12"/>
    </row>
    <row r="89" spans="1:12" ht="12.75" customHeight="1">
      <c r="A89" s="20"/>
      <c r="B89" s="17"/>
      <c r="C89" s="17"/>
      <c r="D89" s="17"/>
      <c r="E89" s="17"/>
      <c r="F89" s="22"/>
      <c r="G89" s="29"/>
      <c r="H89" s="12"/>
      <c r="I89" s="12"/>
      <c r="J89" s="17"/>
      <c r="K89" s="17"/>
      <c r="L89" s="12"/>
    </row>
    <row r="90" spans="1:12" ht="12.75" customHeight="1">
      <c r="A90" s="20"/>
      <c r="B90" s="17"/>
      <c r="C90" s="17"/>
      <c r="D90" s="30"/>
      <c r="E90" s="17"/>
      <c r="F90" s="18"/>
      <c r="G90" s="17"/>
      <c r="H90" s="17"/>
      <c r="I90" s="17"/>
      <c r="J90" s="17"/>
      <c r="K90" s="17"/>
      <c r="L90" s="12"/>
    </row>
    <row r="91" spans="1:12" ht="12.75" customHeight="1">
      <c r="A91" s="20"/>
      <c r="B91" s="17"/>
      <c r="C91" s="17"/>
      <c r="D91" s="17"/>
      <c r="E91" s="17"/>
      <c r="F91" s="18"/>
      <c r="G91" s="17"/>
      <c r="H91" s="17"/>
      <c r="I91" s="17"/>
      <c r="J91" s="17"/>
      <c r="K91" s="17"/>
      <c r="L91" s="12"/>
    </row>
    <row r="92" spans="1:12" ht="12.75" customHeight="1">
      <c r="A92" s="20"/>
      <c r="B92" s="17"/>
      <c r="C92" s="17"/>
      <c r="D92" s="17"/>
      <c r="E92" s="17"/>
      <c r="F92" s="32"/>
      <c r="G92" s="17"/>
      <c r="H92" s="17"/>
      <c r="I92" s="17"/>
      <c r="J92" s="17"/>
      <c r="K92" s="17"/>
      <c r="L92" s="12"/>
    </row>
    <row r="93" spans="1:12" ht="12.75" customHeight="1">
      <c r="A93" s="20"/>
      <c r="B93" s="17"/>
      <c r="C93" s="17"/>
      <c r="D93" s="17"/>
      <c r="E93" s="17"/>
      <c r="F93" s="18"/>
      <c r="G93" s="17"/>
      <c r="H93" s="17"/>
      <c r="I93" s="17"/>
      <c r="J93" s="17"/>
      <c r="K93" s="17"/>
      <c r="L93" s="12"/>
    </row>
    <row r="94" spans="1:12" ht="12.75" customHeight="1">
      <c r="A94" s="20"/>
      <c r="B94" s="17"/>
      <c r="C94" s="17"/>
      <c r="D94" s="17"/>
      <c r="E94" s="17"/>
      <c r="F94" s="17"/>
      <c r="G94" s="17"/>
      <c r="H94" s="17"/>
      <c r="I94" s="17"/>
      <c r="J94" s="17"/>
      <c r="K94" s="17"/>
      <c r="L94" s="12"/>
    </row>
    <row r="95" spans="1:12" ht="12.75" customHeight="1">
      <c r="A95" s="20"/>
      <c r="B95" s="17"/>
      <c r="C95" s="17"/>
      <c r="D95" s="17"/>
      <c r="E95" s="17"/>
      <c r="F95" s="17"/>
      <c r="G95" s="17"/>
      <c r="H95" s="17"/>
      <c r="I95" s="17"/>
      <c r="J95" s="17"/>
      <c r="K95" s="17"/>
      <c r="L95" s="12"/>
    </row>
    <row r="96" spans="1:12" ht="12.75" customHeight="1">
      <c r="A96" s="20"/>
      <c r="B96" s="17"/>
      <c r="C96" s="17"/>
      <c r="D96" s="31"/>
      <c r="E96" s="17"/>
      <c r="F96" s="17"/>
      <c r="G96" s="17"/>
      <c r="H96" s="17"/>
      <c r="I96" s="17"/>
      <c r="J96" s="17"/>
      <c r="K96" s="17"/>
      <c r="L96" s="12"/>
    </row>
    <row r="97" spans="1:12" ht="12.75" customHeight="1">
      <c r="A97" s="20"/>
      <c r="B97" s="17"/>
      <c r="C97" s="17"/>
      <c r="D97" s="18"/>
      <c r="E97" s="17"/>
      <c r="F97" s="17"/>
      <c r="G97" s="17"/>
      <c r="H97" s="17"/>
      <c r="I97" s="17"/>
      <c r="J97" s="17"/>
      <c r="K97" s="17"/>
      <c r="L97" s="12"/>
    </row>
    <row r="98" spans="1:12" ht="12.75" customHeight="1">
      <c r="A98" s="20"/>
      <c r="B98" s="17"/>
      <c r="C98" s="17"/>
      <c r="D98" s="18"/>
      <c r="E98" s="17"/>
      <c r="F98" s="17"/>
      <c r="G98" s="17"/>
      <c r="H98" s="17"/>
      <c r="I98" s="17"/>
      <c r="J98" s="17"/>
      <c r="K98" s="17"/>
      <c r="L98" s="12"/>
    </row>
    <row r="99" spans="1:12" ht="12.75" customHeight="1">
      <c r="A99" s="20"/>
      <c r="B99" s="17"/>
      <c r="C99" s="17"/>
      <c r="D99" s="18"/>
      <c r="E99" s="17"/>
      <c r="F99" s="17"/>
      <c r="G99" s="17"/>
      <c r="H99" s="17"/>
      <c r="I99" s="17"/>
      <c r="J99" s="17"/>
      <c r="K99" s="17"/>
      <c r="L99" s="12"/>
    </row>
    <row r="100" spans="1:12" ht="12.75" customHeight="1">
      <c r="A100" s="20"/>
      <c r="B100" s="17"/>
      <c r="C100" s="17"/>
      <c r="D100" s="17"/>
      <c r="E100" s="17"/>
      <c r="F100" s="17"/>
      <c r="G100" s="17"/>
      <c r="H100" s="17"/>
      <c r="I100" s="17"/>
      <c r="J100" s="17"/>
      <c r="K100" s="17"/>
      <c r="L100" s="12"/>
    </row>
    <row r="101" spans="1:12" ht="12.75" customHeight="1">
      <c r="A101" s="20"/>
      <c r="B101" s="17"/>
      <c r="C101" s="17"/>
      <c r="D101" s="17"/>
      <c r="E101" s="17"/>
      <c r="F101" s="18"/>
      <c r="G101" s="17"/>
      <c r="H101" s="17"/>
      <c r="I101" s="17"/>
      <c r="J101" s="17"/>
      <c r="K101" s="17"/>
      <c r="L101" s="12"/>
    </row>
    <row r="102" spans="1:12" ht="12.75" customHeight="1">
      <c r="A102" s="20"/>
      <c r="B102" s="17"/>
      <c r="C102" s="17"/>
      <c r="D102" s="31"/>
      <c r="E102" s="25"/>
      <c r="F102" s="25"/>
      <c r="G102" s="25"/>
      <c r="H102" s="17"/>
      <c r="I102" s="17"/>
      <c r="J102" s="17"/>
      <c r="K102" s="17"/>
      <c r="L102" s="12"/>
    </row>
    <row r="103" spans="1:12" ht="12.75" customHeight="1">
      <c r="A103" s="20"/>
      <c r="B103" s="17"/>
      <c r="C103" s="17"/>
      <c r="D103" s="17"/>
      <c r="E103" s="17"/>
      <c r="F103" s="17"/>
      <c r="G103" s="17"/>
      <c r="H103" s="25"/>
      <c r="I103" s="25"/>
      <c r="J103" s="17"/>
      <c r="K103" s="17"/>
      <c r="L103" s="12"/>
    </row>
    <row r="104" spans="1:12" ht="12.75" customHeight="1">
      <c r="A104" s="20"/>
      <c r="B104" s="17"/>
      <c r="C104" s="17"/>
      <c r="D104" s="17"/>
      <c r="E104" s="17"/>
      <c r="F104" s="17"/>
      <c r="G104" s="17"/>
      <c r="H104" s="17"/>
      <c r="I104" s="17"/>
      <c r="J104" s="17"/>
      <c r="K104" s="17"/>
      <c r="L104" s="12"/>
    </row>
    <row r="105" spans="1:12" ht="12.75" customHeight="1">
      <c r="A105" s="20"/>
      <c r="B105" s="17"/>
      <c r="C105" s="17"/>
      <c r="D105" s="17"/>
      <c r="E105" s="17"/>
      <c r="F105" s="17"/>
      <c r="G105" s="12"/>
      <c r="H105" s="17"/>
      <c r="I105" s="17"/>
      <c r="J105" s="17"/>
      <c r="K105" s="17"/>
      <c r="L105" s="12"/>
    </row>
    <row r="106" spans="1:12" ht="12.75" customHeight="1">
      <c r="A106" s="20"/>
      <c r="B106" s="17"/>
      <c r="C106" s="17"/>
      <c r="D106" s="31"/>
      <c r="E106" s="25"/>
      <c r="F106" s="25"/>
      <c r="G106" s="25"/>
      <c r="H106" s="17"/>
      <c r="I106" s="17"/>
      <c r="J106" s="17"/>
      <c r="K106" s="17"/>
      <c r="L106" s="12"/>
    </row>
    <row r="107" spans="1:12" ht="12.75" customHeight="1">
      <c r="A107" s="20"/>
      <c r="B107" s="17"/>
      <c r="C107" s="17"/>
      <c r="D107" s="17"/>
      <c r="E107" s="22"/>
      <c r="F107" s="17"/>
      <c r="G107" s="17"/>
      <c r="H107" s="17"/>
      <c r="I107" s="17"/>
      <c r="J107" s="17"/>
      <c r="K107" s="17"/>
      <c r="L107" s="12"/>
    </row>
    <row r="108" spans="1:12" ht="12.75" customHeight="1">
      <c r="A108" s="20"/>
      <c r="B108" s="17"/>
      <c r="C108" s="17"/>
      <c r="D108" s="17"/>
      <c r="E108" s="17"/>
      <c r="F108" s="18"/>
      <c r="G108" s="17"/>
      <c r="H108" s="17"/>
      <c r="I108" s="17"/>
      <c r="J108" s="17"/>
      <c r="K108" s="17"/>
      <c r="L108" s="12"/>
    </row>
    <row r="109" spans="1:12" ht="12.75" customHeight="1">
      <c r="A109" s="20"/>
      <c r="B109" s="17"/>
      <c r="C109" s="17"/>
      <c r="D109" s="31"/>
      <c r="E109" s="31"/>
      <c r="F109" s="31"/>
      <c r="G109" s="31"/>
      <c r="H109" s="17"/>
      <c r="I109" s="17"/>
      <c r="J109" s="17"/>
      <c r="K109" s="17"/>
      <c r="L109" s="12"/>
    </row>
    <row r="110" spans="1:12" ht="12.75" customHeight="1">
      <c r="A110" s="20"/>
      <c r="B110" s="17"/>
      <c r="C110" s="17"/>
      <c r="D110" s="17"/>
      <c r="E110" s="17"/>
      <c r="F110" s="17"/>
      <c r="G110" s="17"/>
      <c r="H110" s="17"/>
      <c r="I110" s="17"/>
      <c r="J110" s="17"/>
      <c r="K110" s="17"/>
      <c r="L110" s="12"/>
    </row>
    <row r="111" spans="1:12" ht="12.75" customHeight="1">
      <c r="A111" s="20"/>
      <c r="B111" s="17"/>
      <c r="C111" s="17"/>
      <c r="D111" s="17"/>
      <c r="E111" s="17"/>
      <c r="F111" s="17"/>
      <c r="G111" s="17"/>
      <c r="H111" s="17"/>
      <c r="I111" s="17"/>
      <c r="J111" s="17"/>
      <c r="K111" s="17"/>
      <c r="L111" s="12"/>
    </row>
    <row r="112" spans="1:12" ht="12.75" customHeight="1">
      <c r="A112" s="20"/>
      <c r="B112" s="17"/>
      <c r="C112" s="17"/>
      <c r="D112" s="17"/>
      <c r="E112" s="17"/>
      <c r="F112" s="17"/>
      <c r="G112" s="17"/>
      <c r="H112" s="17"/>
      <c r="I112" s="17"/>
      <c r="J112" s="17"/>
      <c r="K112" s="17"/>
      <c r="L112" s="12"/>
    </row>
    <row r="113" spans="1:12" ht="12.75" customHeight="1">
      <c r="A113" s="20"/>
      <c r="B113" s="17"/>
      <c r="C113" s="17"/>
      <c r="D113" s="17"/>
      <c r="E113" s="17"/>
      <c r="F113" s="17"/>
      <c r="G113" s="17"/>
      <c r="H113" s="17"/>
      <c r="I113" s="17"/>
      <c r="J113" s="17"/>
      <c r="K113" s="17"/>
      <c r="L113" s="12"/>
    </row>
    <row r="114" spans="1:12" ht="12.75" customHeight="1">
      <c r="A114" s="20"/>
      <c r="B114" s="17"/>
      <c r="C114" s="17"/>
      <c r="D114" s="31"/>
      <c r="E114" s="31"/>
      <c r="F114" s="31"/>
      <c r="G114" s="31"/>
      <c r="H114" s="31"/>
      <c r="I114" s="17"/>
      <c r="J114" s="17"/>
      <c r="K114" s="17"/>
      <c r="L114" s="12"/>
    </row>
    <row r="115" spans="1:12" ht="12.75" customHeight="1">
      <c r="A115" s="20"/>
      <c r="B115" s="17"/>
      <c r="C115" s="17"/>
      <c r="D115" s="17"/>
      <c r="E115" s="17"/>
      <c r="F115" s="17"/>
      <c r="G115" s="17"/>
      <c r="H115" s="17"/>
      <c r="I115" s="17"/>
      <c r="J115" s="17"/>
      <c r="K115" s="17"/>
      <c r="L115" s="12"/>
    </row>
    <row r="116" spans="1:12" ht="12.75" customHeight="1">
      <c r="A116" s="20"/>
      <c r="B116" s="17"/>
      <c r="C116" s="17"/>
      <c r="D116" s="17"/>
      <c r="E116" s="17"/>
      <c r="F116" s="17"/>
      <c r="G116" s="17"/>
      <c r="H116" s="17"/>
      <c r="I116" s="17"/>
      <c r="J116" s="17"/>
      <c r="K116" s="17"/>
      <c r="L116" s="12"/>
    </row>
    <row r="117" spans="1:12" ht="12.75" customHeight="1">
      <c r="A117" s="20"/>
      <c r="B117" s="17"/>
      <c r="C117" s="17"/>
      <c r="D117" s="17"/>
      <c r="E117" s="17"/>
      <c r="F117" s="17"/>
      <c r="G117" s="17"/>
      <c r="H117" s="17"/>
      <c r="I117" s="17"/>
      <c r="J117" s="17"/>
      <c r="K117" s="17"/>
      <c r="L117" s="12"/>
    </row>
    <row r="118" spans="1:12" ht="12.75" customHeight="1">
      <c r="A118" s="20"/>
      <c r="B118" s="17"/>
      <c r="C118" s="17"/>
      <c r="D118" s="17"/>
      <c r="E118" s="17"/>
      <c r="F118" s="17"/>
      <c r="G118" s="17"/>
      <c r="H118" s="17"/>
      <c r="I118" s="17"/>
      <c r="J118" s="17"/>
      <c r="K118" s="17"/>
      <c r="L118" s="12"/>
    </row>
    <row r="119" spans="1:12" ht="12.75" customHeight="1">
      <c r="A119" s="20"/>
      <c r="B119" s="17"/>
      <c r="C119" s="17"/>
      <c r="D119" s="31"/>
      <c r="E119" s="31"/>
      <c r="F119" s="31"/>
      <c r="G119" s="31"/>
      <c r="H119" s="31"/>
      <c r="I119" s="17"/>
      <c r="J119" s="17"/>
      <c r="K119" s="17"/>
      <c r="L119" s="12"/>
    </row>
    <row r="120" spans="1:12" ht="12.75" customHeight="1">
      <c r="A120" s="20"/>
      <c r="B120" s="17"/>
      <c r="C120" s="17"/>
      <c r="D120" s="31"/>
      <c r="E120" s="31"/>
      <c r="F120" s="31"/>
      <c r="G120" s="31"/>
      <c r="H120" s="17"/>
      <c r="I120" s="17"/>
      <c r="J120" s="17"/>
      <c r="K120" s="17"/>
      <c r="L120" s="12"/>
    </row>
    <row r="121" spans="1:12" ht="12.75" customHeight="1">
      <c r="A121" s="20"/>
      <c r="B121" s="17"/>
      <c r="C121" s="17"/>
      <c r="D121" s="17"/>
      <c r="E121" s="17"/>
      <c r="F121" s="17"/>
      <c r="G121" s="17"/>
      <c r="H121" s="17"/>
      <c r="I121" s="17"/>
      <c r="J121" s="17"/>
      <c r="K121" s="17"/>
      <c r="L121" s="12"/>
    </row>
    <row r="122" spans="1:12" ht="12.75" customHeight="1">
      <c r="A122" s="20"/>
      <c r="B122" s="17"/>
      <c r="C122" s="17"/>
      <c r="D122" s="17"/>
      <c r="E122" s="17"/>
      <c r="F122" s="17"/>
      <c r="G122" s="29"/>
      <c r="H122" s="17"/>
      <c r="I122" s="17"/>
      <c r="J122" s="17"/>
      <c r="K122" s="17"/>
      <c r="L122" s="12"/>
    </row>
    <row r="123" spans="1:12" ht="12.75" customHeight="1">
      <c r="A123" s="20"/>
      <c r="B123" s="17"/>
      <c r="C123" s="17"/>
      <c r="D123" s="17"/>
      <c r="E123" s="17"/>
      <c r="F123" s="17"/>
      <c r="G123" s="29"/>
      <c r="H123" s="17"/>
      <c r="I123" s="17"/>
      <c r="J123" s="17"/>
      <c r="K123" s="17"/>
      <c r="L123" s="12"/>
    </row>
    <row r="124" spans="1:12" ht="12.75" customHeight="1">
      <c r="A124" s="20"/>
      <c r="B124" s="17"/>
      <c r="C124" s="17"/>
      <c r="D124" s="31"/>
      <c r="E124" s="25"/>
      <c r="F124" s="21"/>
      <c r="G124" s="25"/>
      <c r="H124" s="17"/>
      <c r="I124" s="17"/>
      <c r="J124" s="17"/>
      <c r="K124" s="17"/>
      <c r="L124" s="12"/>
    </row>
    <row r="125" spans="1:12" ht="12.75" customHeight="1">
      <c r="A125" s="20"/>
      <c r="B125" s="17"/>
      <c r="C125" s="17"/>
      <c r="D125" s="24"/>
      <c r="E125" s="17"/>
      <c r="F125" s="17"/>
      <c r="G125" s="17"/>
      <c r="H125" s="17"/>
      <c r="I125" s="17"/>
      <c r="J125" s="17"/>
      <c r="K125" s="17"/>
      <c r="L125" s="12"/>
    </row>
    <row r="126" spans="1:12" ht="12.75" customHeight="1">
      <c r="A126" s="20"/>
      <c r="B126" s="17"/>
      <c r="C126" s="17"/>
      <c r="D126" s="24"/>
      <c r="E126" s="17"/>
      <c r="F126" s="17"/>
      <c r="G126" s="17"/>
      <c r="H126" s="17"/>
      <c r="I126" s="17"/>
      <c r="J126" s="17"/>
      <c r="K126" s="17"/>
      <c r="L126" s="12"/>
    </row>
    <row r="127" spans="1:12" ht="12.75" customHeight="1">
      <c r="A127" s="20"/>
      <c r="B127" s="17"/>
      <c r="C127" s="17"/>
      <c r="D127" s="17"/>
      <c r="E127" s="17"/>
      <c r="F127" s="17"/>
      <c r="G127" s="17"/>
      <c r="H127" s="17"/>
      <c r="I127" s="17"/>
      <c r="J127" s="17"/>
      <c r="K127" s="17"/>
      <c r="L127" s="12"/>
    </row>
    <row r="128" spans="1:12" ht="12.75" customHeight="1">
      <c r="A128" s="20"/>
      <c r="B128" s="17"/>
      <c r="C128" s="17"/>
      <c r="D128" s="17"/>
      <c r="E128" s="17"/>
      <c r="F128" s="17"/>
      <c r="G128" s="17"/>
      <c r="H128" s="17"/>
      <c r="I128" s="17"/>
      <c r="J128" s="17"/>
      <c r="K128" s="17"/>
      <c r="L128" s="12"/>
    </row>
    <row r="129" spans="1:12" ht="12.75" customHeight="1">
      <c r="A129" s="20"/>
      <c r="B129" s="17"/>
      <c r="C129" s="17"/>
      <c r="D129" s="17"/>
      <c r="E129" s="17"/>
      <c r="F129" s="17"/>
      <c r="G129" s="17"/>
      <c r="H129" s="17"/>
      <c r="I129" s="17"/>
      <c r="J129" s="17"/>
      <c r="K129" s="17"/>
      <c r="L129" s="12"/>
    </row>
    <row r="130" spans="1:12" ht="12.75" customHeight="1">
      <c r="A130" s="20"/>
      <c r="B130" s="17"/>
      <c r="C130" s="17"/>
      <c r="D130" s="17"/>
      <c r="E130" s="17"/>
      <c r="F130" s="17"/>
      <c r="G130" s="17"/>
      <c r="H130" s="17"/>
      <c r="I130" s="17"/>
      <c r="J130" s="17"/>
      <c r="K130" s="17"/>
      <c r="L130" s="12"/>
    </row>
    <row r="131" spans="1:12" ht="12.75" customHeight="1">
      <c r="A131" s="20"/>
      <c r="B131" s="17"/>
      <c r="C131" s="17"/>
      <c r="D131" s="17"/>
      <c r="E131" s="17"/>
      <c r="F131" s="17"/>
      <c r="G131" s="17"/>
      <c r="H131" s="17"/>
      <c r="I131" s="17"/>
      <c r="J131" s="17"/>
      <c r="K131" s="17"/>
      <c r="L131" s="12"/>
    </row>
    <row r="132" spans="1:12" ht="12.75" customHeight="1">
      <c r="A132" s="20"/>
      <c r="B132" s="17"/>
      <c r="C132" s="17"/>
      <c r="D132" s="31"/>
      <c r="E132" s="25"/>
      <c r="F132" s="21"/>
      <c r="G132" s="25"/>
      <c r="H132" s="17"/>
      <c r="I132" s="17"/>
      <c r="J132" s="17"/>
      <c r="K132" s="17"/>
      <c r="L132" s="12"/>
    </row>
    <row r="133" spans="1:12" ht="12.75" customHeight="1">
      <c r="A133" s="20"/>
      <c r="B133" s="17"/>
      <c r="C133" s="17"/>
      <c r="D133" s="25"/>
      <c r="E133" s="17"/>
      <c r="F133" s="22"/>
      <c r="G133" s="17"/>
      <c r="H133" s="17"/>
      <c r="I133" s="17"/>
      <c r="J133" s="17"/>
      <c r="K133" s="17"/>
      <c r="L133" s="12"/>
    </row>
    <row r="134" spans="1:12" ht="12.75" customHeight="1">
      <c r="A134" s="20"/>
      <c r="B134" s="17"/>
      <c r="C134" s="17"/>
      <c r="D134" s="25"/>
      <c r="E134" s="17"/>
      <c r="F134" s="22"/>
      <c r="G134" s="17"/>
      <c r="H134" s="17"/>
      <c r="I134" s="17"/>
      <c r="J134" s="17"/>
      <c r="K134" s="17"/>
      <c r="L134" s="12"/>
    </row>
    <row r="135" spans="1:12" ht="12.75" customHeight="1">
      <c r="A135" s="20"/>
      <c r="B135" s="17"/>
      <c r="C135" s="17"/>
      <c r="D135" s="17"/>
      <c r="E135" s="17"/>
      <c r="F135" s="17"/>
      <c r="G135" s="17"/>
      <c r="H135" s="17"/>
      <c r="I135" s="17"/>
      <c r="J135" s="17"/>
      <c r="K135" s="17"/>
      <c r="L135" s="12"/>
    </row>
    <row r="136" spans="1:12" ht="12.75" customHeight="1">
      <c r="A136" s="20"/>
      <c r="B136" s="17"/>
      <c r="C136" s="17"/>
      <c r="D136" s="31"/>
      <c r="E136" s="25"/>
      <c r="F136" s="25"/>
      <c r="G136" s="25"/>
      <c r="H136" s="17"/>
      <c r="I136" s="17"/>
      <c r="J136" s="17"/>
      <c r="K136" s="17"/>
      <c r="L136" s="12"/>
    </row>
    <row r="137" spans="1:12" ht="12.75" customHeight="1">
      <c r="A137" s="20"/>
      <c r="B137" s="17"/>
      <c r="C137" s="17"/>
      <c r="D137" s="17"/>
      <c r="E137" s="17"/>
      <c r="F137" s="17"/>
      <c r="G137" s="17"/>
      <c r="H137" s="17"/>
      <c r="I137" s="17"/>
      <c r="J137" s="17"/>
      <c r="K137" s="17"/>
      <c r="L137" s="12"/>
    </row>
    <row r="138" spans="1:12" ht="12.75" customHeight="1">
      <c r="A138" s="20"/>
      <c r="B138" s="17"/>
      <c r="C138" s="17"/>
      <c r="D138" s="17"/>
      <c r="E138" s="17"/>
      <c r="F138" s="17"/>
      <c r="G138" s="17"/>
      <c r="H138" s="17"/>
      <c r="I138" s="17"/>
      <c r="J138" s="17"/>
      <c r="K138" s="17"/>
      <c r="L138" s="12"/>
    </row>
    <row r="139" spans="1:12" ht="12.75" customHeight="1">
      <c r="A139" s="20"/>
      <c r="B139" s="17"/>
      <c r="C139" s="17"/>
      <c r="D139" s="17"/>
      <c r="E139" s="17"/>
      <c r="F139" s="17"/>
      <c r="G139" s="17"/>
      <c r="H139" s="17"/>
      <c r="I139" s="17"/>
      <c r="J139" s="17"/>
      <c r="K139" s="17"/>
      <c r="L139" s="12"/>
    </row>
    <row r="140" spans="1:12" ht="12.75" customHeight="1">
      <c r="A140" s="20"/>
      <c r="B140" s="20"/>
      <c r="C140" s="17"/>
      <c r="D140" s="17"/>
      <c r="E140" s="17"/>
      <c r="F140" s="17"/>
      <c r="G140" s="17"/>
      <c r="H140" s="17"/>
      <c r="I140" s="17"/>
      <c r="J140" s="17"/>
      <c r="K140" s="17"/>
      <c r="L140" s="12"/>
    </row>
    <row r="141" spans="1:12" ht="12.75" customHeight="1">
      <c r="A141" s="20"/>
      <c r="B141" s="20"/>
      <c r="C141" s="17"/>
      <c r="D141" s="17"/>
      <c r="E141" s="17"/>
      <c r="F141" s="17"/>
      <c r="G141" s="17"/>
      <c r="H141" s="17"/>
      <c r="I141" s="33"/>
      <c r="J141" s="17"/>
      <c r="K141" s="17"/>
      <c r="L141" s="12"/>
    </row>
    <row r="142" spans="1:12" ht="12.75" customHeight="1">
      <c r="A142" s="20"/>
      <c r="B142" s="20"/>
      <c r="C142" s="17"/>
      <c r="D142" s="17"/>
      <c r="E142" s="17"/>
      <c r="F142" s="17"/>
      <c r="G142" s="17"/>
      <c r="H142" s="17"/>
      <c r="I142" s="33"/>
      <c r="J142" s="17"/>
      <c r="K142" s="17"/>
      <c r="L142" s="12"/>
    </row>
    <row r="143" spans="1:12" ht="12.75" customHeight="1">
      <c r="A143" s="20"/>
      <c r="B143" s="20"/>
      <c r="C143" s="17"/>
      <c r="D143" s="31"/>
      <c r="E143" s="25"/>
      <c r="F143" s="25"/>
      <c r="G143" s="25"/>
      <c r="H143" s="17"/>
      <c r="I143" s="33"/>
      <c r="J143" s="17"/>
      <c r="K143" s="17"/>
      <c r="L143" s="12"/>
    </row>
    <row r="144" spans="1:12" ht="12.75" customHeight="1">
      <c r="A144" s="20"/>
      <c r="B144" s="20"/>
      <c r="C144" s="17"/>
      <c r="D144" s="18"/>
      <c r="E144" s="17"/>
      <c r="F144" s="22"/>
      <c r="G144" s="23"/>
      <c r="H144" s="17"/>
      <c r="I144" s="33"/>
      <c r="J144" s="17"/>
      <c r="K144" s="17"/>
      <c r="L144" s="12"/>
    </row>
    <row r="145" spans="1:12" ht="12.75" customHeight="1">
      <c r="A145" s="20"/>
      <c r="B145" s="20"/>
      <c r="C145" s="17"/>
      <c r="D145" s="18"/>
      <c r="E145" s="17"/>
      <c r="F145" s="22"/>
      <c r="G145" s="23"/>
      <c r="H145" s="17"/>
      <c r="I145" s="17"/>
      <c r="J145" s="17"/>
      <c r="K145" s="17"/>
      <c r="L145" s="12"/>
    </row>
    <row r="146" spans="1:12" ht="12.75" customHeight="1">
      <c r="A146" s="20"/>
      <c r="B146" s="20"/>
      <c r="C146" s="17"/>
      <c r="D146" s="18"/>
      <c r="E146" s="17"/>
      <c r="F146" s="22"/>
      <c r="G146" s="23"/>
      <c r="H146" s="17"/>
      <c r="I146" s="33"/>
      <c r="J146" s="17"/>
      <c r="K146" s="17"/>
      <c r="L146" s="12"/>
    </row>
    <row r="147" spans="1:12" ht="12.75" customHeight="1">
      <c r="A147" s="20"/>
      <c r="B147" s="20"/>
      <c r="C147" s="17"/>
      <c r="D147" s="18"/>
      <c r="E147" s="17"/>
      <c r="F147" s="22"/>
      <c r="G147" s="23"/>
      <c r="H147" s="17"/>
      <c r="I147" s="33"/>
      <c r="J147" s="17"/>
      <c r="K147" s="17"/>
      <c r="L147" s="12"/>
    </row>
    <row r="148" spans="1:12" ht="12.75" customHeight="1">
      <c r="A148" s="20"/>
      <c r="B148" s="20"/>
      <c r="C148" s="17"/>
      <c r="D148" s="18"/>
      <c r="E148" s="17"/>
      <c r="F148" s="22"/>
      <c r="G148" s="23"/>
      <c r="H148" s="17"/>
      <c r="I148" s="33"/>
      <c r="J148" s="17"/>
      <c r="K148" s="17"/>
      <c r="L148" s="12"/>
    </row>
    <row r="149" spans="1:12" ht="12.75" customHeight="1">
      <c r="A149" s="20"/>
      <c r="B149" s="20"/>
      <c r="C149" s="17"/>
      <c r="D149" s="18"/>
      <c r="E149" s="17"/>
      <c r="F149" s="22"/>
      <c r="G149" s="23"/>
      <c r="H149" s="17"/>
      <c r="I149" s="33"/>
      <c r="J149" s="17"/>
      <c r="K149" s="17"/>
      <c r="L149" s="12"/>
    </row>
    <row r="150" spans="1:12" ht="12.75" customHeight="1">
      <c r="A150" s="20"/>
      <c r="B150" s="20"/>
      <c r="C150" s="17"/>
      <c r="D150" s="18"/>
      <c r="E150" s="17"/>
      <c r="F150" s="22"/>
      <c r="G150" s="23"/>
      <c r="H150" s="17"/>
      <c r="I150" s="33"/>
      <c r="J150" s="17"/>
      <c r="K150" s="17"/>
      <c r="L150" s="12"/>
    </row>
    <row r="151" spans="1:12" ht="12.75" customHeight="1">
      <c r="A151" s="20"/>
      <c r="B151" s="20"/>
      <c r="C151" s="17"/>
      <c r="D151" s="18"/>
      <c r="E151" s="17"/>
      <c r="F151" s="22"/>
      <c r="G151" s="23"/>
      <c r="H151" s="17"/>
      <c r="I151" s="33"/>
      <c r="J151" s="17"/>
      <c r="K151" s="17"/>
      <c r="L151" s="12"/>
    </row>
    <row r="152" spans="1:12" ht="12.75" customHeight="1">
      <c r="A152" s="20"/>
      <c r="B152" s="20"/>
      <c r="C152" s="17"/>
      <c r="D152" s="18"/>
      <c r="E152" s="17"/>
      <c r="F152" s="22"/>
      <c r="G152" s="23"/>
      <c r="H152" s="17"/>
      <c r="I152" s="33"/>
      <c r="J152" s="17"/>
      <c r="K152" s="17"/>
      <c r="L152" s="12"/>
    </row>
    <row r="153" spans="1:12" ht="12.75" customHeight="1">
      <c r="A153" s="20"/>
      <c r="B153" s="20"/>
      <c r="C153" s="17"/>
      <c r="D153" s="18"/>
      <c r="E153" s="17"/>
      <c r="F153" s="22"/>
      <c r="G153" s="23"/>
      <c r="H153" s="17"/>
      <c r="I153" s="33"/>
      <c r="J153" s="17"/>
      <c r="K153" s="17"/>
      <c r="L153" s="12"/>
    </row>
    <row r="154" spans="1:12" ht="12.75" customHeight="1">
      <c r="A154" s="20"/>
      <c r="B154" s="20"/>
      <c r="C154" s="17"/>
      <c r="D154" s="18"/>
      <c r="E154" s="17"/>
      <c r="F154" s="22"/>
      <c r="G154" s="23"/>
      <c r="H154" s="17"/>
      <c r="I154" s="33"/>
      <c r="J154" s="17"/>
      <c r="K154" s="17"/>
      <c r="L154" s="12"/>
    </row>
    <row r="155" spans="1:12" ht="12.75" customHeight="1">
      <c r="A155" s="20"/>
      <c r="B155" s="20"/>
      <c r="C155" s="17"/>
      <c r="D155" s="18"/>
      <c r="E155" s="17"/>
      <c r="F155" s="22"/>
      <c r="G155" s="23"/>
      <c r="H155" s="17"/>
      <c r="I155" s="33"/>
      <c r="J155" s="17"/>
      <c r="K155" s="17"/>
      <c r="L155" s="12"/>
    </row>
    <row r="156" spans="1:12" ht="12.75" customHeight="1">
      <c r="A156" s="20"/>
      <c r="B156" s="20"/>
      <c r="C156" s="17"/>
      <c r="D156" s="18"/>
      <c r="E156" s="17"/>
      <c r="F156" s="22"/>
      <c r="G156" s="23"/>
      <c r="H156" s="17"/>
      <c r="I156" s="33"/>
      <c r="J156" s="17"/>
      <c r="K156" s="17"/>
      <c r="L156" s="12"/>
    </row>
    <row r="157" spans="1:12" ht="12.75" customHeight="1">
      <c r="A157" s="20"/>
      <c r="B157" s="20"/>
      <c r="C157" s="17"/>
      <c r="D157" s="17"/>
      <c r="E157" s="17"/>
      <c r="F157" s="17"/>
      <c r="G157" s="17"/>
      <c r="H157" s="17"/>
      <c r="I157" s="33"/>
      <c r="J157" s="17"/>
      <c r="K157" s="17"/>
      <c r="L157" s="12"/>
    </row>
    <row r="158" spans="1:12" ht="12.75" customHeight="1">
      <c r="A158" s="20"/>
      <c r="B158" s="20"/>
      <c r="C158" s="17"/>
      <c r="D158" s="31"/>
      <c r="E158" s="25"/>
      <c r="F158" s="25"/>
      <c r="G158" s="25"/>
      <c r="H158" s="26"/>
      <c r="I158" s="26"/>
      <c r="J158" s="26"/>
      <c r="K158" s="26"/>
      <c r="L158" s="12"/>
    </row>
    <row r="159" spans="1:12" ht="12.75" customHeight="1">
      <c r="A159" s="20"/>
      <c r="C159" s="17"/>
      <c r="D159" s="25"/>
      <c r="E159" s="25"/>
      <c r="F159" s="25"/>
      <c r="G159" s="25"/>
      <c r="H159" s="26"/>
      <c r="I159" s="26"/>
      <c r="J159" s="26"/>
      <c r="K159" s="26"/>
      <c r="L159" s="12"/>
    </row>
    <row r="160" spans="3:12" ht="12.75" customHeight="1">
      <c r="C160" s="17"/>
      <c r="D160" s="17"/>
      <c r="E160" s="12"/>
      <c r="F160" s="17"/>
      <c r="G160" s="25"/>
      <c r="H160" s="25"/>
      <c r="I160" s="26"/>
      <c r="J160" s="26"/>
      <c r="K160" s="26"/>
      <c r="L160" s="12"/>
    </row>
    <row r="161" spans="3:12" ht="12.75" customHeight="1">
      <c r="C161" s="17"/>
      <c r="D161" s="25"/>
      <c r="E161" s="25"/>
      <c r="F161" s="25"/>
      <c r="G161" s="25"/>
      <c r="H161" s="26"/>
      <c r="I161" s="26"/>
      <c r="J161" s="26"/>
      <c r="K161" s="26"/>
      <c r="L161" s="12"/>
    </row>
    <row r="162" spans="3:12" ht="12.75" customHeight="1">
      <c r="C162" s="17"/>
      <c r="D162" s="25"/>
      <c r="E162" s="25"/>
      <c r="F162" s="25"/>
      <c r="G162" s="25"/>
      <c r="H162" s="26"/>
      <c r="I162" s="26"/>
      <c r="J162" s="26"/>
      <c r="K162" s="26"/>
      <c r="L162" s="12"/>
    </row>
    <row r="163" spans="3:12" ht="12.75" customHeight="1">
      <c r="C163" s="17"/>
      <c r="D163" s="25"/>
      <c r="E163" s="25"/>
      <c r="F163" s="25"/>
      <c r="G163" s="25"/>
      <c r="H163" s="26"/>
      <c r="I163" s="26"/>
      <c r="J163" s="26"/>
      <c r="K163" s="26"/>
      <c r="L163" s="12"/>
    </row>
    <row r="164" spans="3:12" ht="12.75" customHeight="1">
      <c r="C164" s="17"/>
      <c r="D164" s="24"/>
      <c r="E164" s="25"/>
      <c r="F164" s="17"/>
      <c r="G164" s="17"/>
      <c r="H164" s="25"/>
      <c r="I164" s="26"/>
      <c r="J164" s="26"/>
      <c r="K164" s="26"/>
      <c r="L164" s="12"/>
    </row>
    <row r="165" spans="3:12" ht="12.75" customHeight="1">
      <c r="C165" s="17"/>
      <c r="D165" s="17"/>
      <c r="E165" s="25"/>
      <c r="F165" s="25"/>
      <c r="G165" s="17"/>
      <c r="H165" s="26"/>
      <c r="I165" s="26"/>
      <c r="J165" s="26"/>
      <c r="K165" s="26"/>
      <c r="L165" s="12"/>
    </row>
    <row r="166" spans="3:12" ht="12.75" customHeight="1">
      <c r="C166" s="17"/>
      <c r="D166" s="25"/>
      <c r="E166" s="25"/>
      <c r="F166" s="18"/>
      <c r="G166" s="25"/>
      <c r="H166" s="26"/>
      <c r="I166" s="26"/>
      <c r="J166" s="26"/>
      <c r="K166" s="26"/>
      <c r="L166" s="12"/>
    </row>
    <row r="167" spans="3:12" ht="12.75" customHeight="1">
      <c r="C167" s="17"/>
      <c r="D167" s="25"/>
      <c r="E167" s="25"/>
      <c r="F167" s="25"/>
      <c r="G167" s="25"/>
      <c r="H167" s="25"/>
      <c r="I167" s="26"/>
      <c r="J167" s="26"/>
      <c r="K167" s="26"/>
      <c r="L167" s="12"/>
    </row>
    <row r="168" spans="3:12" ht="12.75" customHeight="1">
      <c r="C168" s="12"/>
      <c r="D168" s="25"/>
      <c r="E168" s="25"/>
      <c r="F168" s="19"/>
      <c r="G168" s="25"/>
      <c r="H168" s="25"/>
      <c r="I168" s="26"/>
      <c r="J168" s="26"/>
      <c r="K168" s="26"/>
      <c r="L168" s="12"/>
    </row>
    <row r="169" spans="3:12" ht="12.75" customHeight="1">
      <c r="C169" s="12"/>
      <c r="D169" s="12"/>
      <c r="E169" s="12"/>
      <c r="F169" s="12"/>
      <c r="G169" s="12"/>
      <c r="H169" s="26"/>
      <c r="I169" s="26"/>
      <c r="J169" s="26"/>
      <c r="K169" s="26"/>
      <c r="L169" s="12"/>
    </row>
    <row r="170" spans="3:12" ht="12.75" customHeight="1">
      <c r="C170" s="12"/>
      <c r="D170" s="31"/>
      <c r="E170" s="25"/>
      <c r="F170" s="25"/>
      <c r="G170" s="25"/>
      <c r="H170" s="26"/>
      <c r="I170" s="26"/>
      <c r="J170" s="26"/>
      <c r="K170" s="26"/>
      <c r="L170" s="12"/>
    </row>
    <row r="171" spans="3:12" ht="12.75" customHeight="1">
      <c r="C171" s="12"/>
      <c r="D171" s="25"/>
      <c r="E171" s="25"/>
      <c r="F171" s="25"/>
      <c r="G171" s="25"/>
      <c r="H171" s="26"/>
      <c r="I171" s="26"/>
      <c r="J171" s="26"/>
      <c r="K171" s="26"/>
      <c r="L171" s="12"/>
    </row>
    <row r="172" spans="3:12" ht="12.75" customHeight="1">
      <c r="C172" s="12"/>
      <c r="D172" s="25"/>
      <c r="E172" s="25"/>
      <c r="F172" s="25"/>
      <c r="G172" s="25"/>
      <c r="H172" s="25"/>
      <c r="I172" s="26"/>
      <c r="J172" s="26"/>
      <c r="K172" s="26"/>
      <c r="L172" s="12"/>
    </row>
    <row r="173" spans="3:12" ht="12.75" customHeight="1">
      <c r="C173" s="12"/>
      <c r="D173" s="25"/>
      <c r="E173" s="25"/>
      <c r="F173" s="25"/>
      <c r="G173" s="25"/>
      <c r="H173" s="25"/>
      <c r="I173" s="26"/>
      <c r="J173" s="26"/>
      <c r="K173" s="26"/>
      <c r="L173" s="12"/>
    </row>
    <row r="174" spans="3:12" ht="12.75" customHeight="1">
      <c r="C174" s="12"/>
      <c r="D174" s="25"/>
      <c r="E174" s="25"/>
      <c r="F174" s="25"/>
      <c r="G174" s="25"/>
      <c r="H174" s="26"/>
      <c r="I174" s="26"/>
      <c r="J174" s="26"/>
      <c r="K174" s="26"/>
      <c r="L174" s="12"/>
    </row>
    <row r="175" spans="3:12" ht="12.75" customHeight="1">
      <c r="C175" s="12"/>
      <c r="D175" s="18"/>
      <c r="E175" s="25"/>
      <c r="F175" s="25"/>
      <c r="G175" s="23"/>
      <c r="H175" s="26"/>
      <c r="I175" s="26"/>
      <c r="J175" s="26"/>
      <c r="K175" s="26"/>
      <c r="L175" s="12"/>
    </row>
    <row r="176" spans="3:12" ht="12.75" customHeight="1">
      <c r="C176" s="12"/>
      <c r="D176" s="25"/>
      <c r="E176" s="12"/>
      <c r="F176" s="25"/>
      <c r="G176" s="25"/>
      <c r="H176" s="26"/>
      <c r="I176" s="26"/>
      <c r="J176" s="26"/>
      <c r="K176" s="26"/>
      <c r="L176" s="12"/>
    </row>
    <row r="177" spans="3:12" ht="12.75" customHeight="1">
      <c r="C177" s="12"/>
      <c r="D177" s="18"/>
      <c r="E177" s="25"/>
      <c r="F177" s="25"/>
      <c r="G177" s="23"/>
      <c r="H177" s="26"/>
      <c r="I177" s="26"/>
      <c r="J177" s="26"/>
      <c r="K177" s="26"/>
      <c r="L177" s="12"/>
    </row>
    <row r="178" spans="3:12" ht="12.75" customHeight="1">
      <c r="C178" s="12"/>
      <c r="D178" s="18"/>
      <c r="E178" s="31"/>
      <c r="F178" s="31"/>
      <c r="G178" s="34"/>
      <c r="H178" s="25"/>
      <c r="I178" s="12"/>
      <c r="J178" s="12"/>
      <c r="K178" s="12"/>
      <c r="L178" s="12"/>
    </row>
    <row r="179" spans="3:12" ht="12.75" customHeight="1">
      <c r="C179" s="12"/>
      <c r="D179" s="12"/>
      <c r="E179" s="12"/>
      <c r="F179" s="12"/>
      <c r="G179" s="12"/>
      <c r="H179" s="26"/>
      <c r="I179" s="26"/>
      <c r="J179" s="26"/>
      <c r="K179" s="26"/>
      <c r="L179" s="12"/>
    </row>
    <row r="180" spans="3:12" ht="12.75" customHeight="1">
      <c r="C180" s="12"/>
      <c r="D180" s="31"/>
      <c r="E180" s="25"/>
      <c r="F180" s="25"/>
      <c r="G180" s="25"/>
      <c r="H180" s="26"/>
      <c r="I180" s="26"/>
      <c r="J180" s="26"/>
      <c r="K180" s="26"/>
      <c r="L180" s="12"/>
    </row>
    <row r="181" spans="3:12" ht="12.75" customHeight="1">
      <c r="C181" s="12"/>
      <c r="D181" s="25"/>
      <c r="E181" s="26"/>
      <c r="F181" s="25"/>
      <c r="G181" s="25"/>
      <c r="H181" s="26"/>
      <c r="I181" s="26"/>
      <c r="J181" s="26"/>
      <c r="K181" s="26"/>
      <c r="L181" s="12"/>
    </row>
    <row r="182" spans="3:12" ht="12.75" customHeight="1">
      <c r="C182" s="12"/>
      <c r="D182" s="25"/>
      <c r="E182" s="26"/>
      <c r="F182" s="25"/>
      <c r="G182" s="25"/>
      <c r="H182" s="12"/>
      <c r="I182" s="26"/>
      <c r="J182" s="12"/>
      <c r="K182" s="12"/>
      <c r="L182" s="12"/>
    </row>
    <row r="183" spans="3:12" ht="12.75" customHeight="1">
      <c r="C183" s="12"/>
      <c r="D183" s="25"/>
      <c r="E183" s="26"/>
      <c r="F183" s="25"/>
      <c r="G183" s="25"/>
      <c r="H183" s="25"/>
      <c r="I183" s="26"/>
      <c r="J183" s="26"/>
      <c r="K183" s="26"/>
      <c r="L183" s="12"/>
    </row>
    <row r="184" spans="3:12" ht="12.75" customHeight="1">
      <c r="C184" s="12"/>
      <c r="D184" s="25"/>
      <c r="E184" s="26"/>
      <c r="F184" s="25"/>
      <c r="G184" s="25"/>
      <c r="H184" s="26"/>
      <c r="I184" s="26"/>
      <c r="J184" s="26"/>
      <c r="K184" s="26"/>
      <c r="L184" s="12"/>
    </row>
    <row r="185" spans="3:12" ht="12.75" customHeight="1">
      <c r="C185" s="12"/>
      <c r="D185" s="25"/>
      <c r="E185" s="26"/>
      <c r="F185" s="25"/>
      <c r="G185" s="25"/>
      <c r="H185" s="26"/>
      <c r="I185" s="26"/>
      <c r="J185" s="26"/>
      <c r="K185" s="26"/>
      <c r="L185" s="12"/>
    </row>
    <row r="186" spans="3:12" ht="12.75" customHeight="1">
      <c r="C186" s="12"/>
      <c r="D186" s="25"/>
      <c r="E186" s="26"/>
      <c r="F186" s="25"/>
      <c r="G186" s="25"/>
      <c r="H186" s="26"/>
      <c r="I186" s="26"/>
      <c r="J186" s="26"/>
      <c r="K186" s="26"/>
      <c r="L186" s="12"/>
    </row>
    <row r="187" spans="3:12" ht="12.75" customHeight="1">
      <c r="C187" s="12"/>
      <c r="D187" s="25"/>
      <c r="E187" s="26"/>
      <c r="F187" s="25"/>
      <c r="G187" s="25"/>
      <c r="H187" s="26"/>
      <c r="I187" s="26"/>
      <c r="J187" s="26"/>
      <c r="K187" s="26"/>
      <c r="L187" s="12"/>
    </row>
    <row r="188" spans="3:12" ht="12.75" customHeight="1">
      <c r="C188" s="12"/>
      <c r="D188" s="25"/>
      <c r="E188" s="26"/>
      <c r="F188" s="25"/>
      <c r="G188" s="25"/>
      <c r="H188" s="26"/>
      <c r="I188" s="26"/>
      <c r="J188" s="26"/>
      <c r="K188" s="26"/>
      <c r="L188" s="12"/>
    </row>
    <row r="189" spans="3:12" ht="12.75" customHeight="1">
      <c r="C189" s="12"/>
      <c r="D189" s="12"/>
      <c r="E189" s="12"/>
      <c r="F189" s="12"/>
      <c r="G189" s="12"/>
      <c r="H189" s="26"/>
      <c r="I189" s="26"/>
      <c r="J189" s="26"/>
      <c r="K189" s="26"/>
      <c r="L189" s="12"/>
    </row>
    <row r="190" spans="3:12" ht="12.75" customHeight="1">
      <c r="C190" s="12"/>
      <c r="D190" s="12"/>
      <c r="E190" s="12"/>
      <c r="F190" s="12"/>
      <c r="G190" s="12"/>
      <c r="H190" s="26"/>
      <c r="I190" s="26"/>
      <c r="J190" s="26"/>
      <c r="K190" s="26"/>
      <c r="L190" s="12"/>
    </row>
    <row r="191" spans="3:12" ht="12.75" customHeight="1">
      <c r="C191" s="12"/>
      <c r="D191" s="12"/>
      <c r="E191" s="12"/>
      <c r="F191" s="12"/>
      <c r="G191" s="12"/>
      <c r="H191" s="26"/>
      <c r="I191" s="26"/>
      <c r="J191" s="26"/>
      <c r="K191" s="26"/>
      <c r="L191" s="12"/>
    </row>
    <row r="192" spans="3:12" ht="12.75" customHeight="1">
      <c r="C192" s="12"/>
      <c r="D192" s="12"/>
      <c r="E192" s="12"/>
      <c r="F192" s="12"/>
      <c r="G192" s="12"/>
      <c r="H192" s="26"/>
      <c r="I192" s="26"/>
      <c r="J192" s="26"/>
      <c r="K192" s="26"/>
      <c r="L192" s="12"/>
    </row>
    <row r="193" spans="3:12" ht="12.75" customHeight="1">
      <c r="C193" s="12"/>
      <c r="D193" s="26"/>
      <c r="E193" s="26"/>
      <c r="F193" s="26"/>
      <c r="G193" s="26"/>
      <c r="H193" s="26"/>
      <c r="I193" s="26"/>
      <c r="J193" s="26"/>
      <c r="K193" s="26"/>
      <c r="L193" s="12"/>
    </row>
    <row r="194" spans="3:12" ht="12.75" customHeight="1">
      <c r="C194" s="12"/>
      <c r="D194" s="26"/>
      <c r="E194" s="26"/>
      <c r="F194" s="26"/>
      <c r="G194" s="26"/>
      <c r="H194" s="26"/>
      <c r="I194" s="26"/>
      <c r="J194" s="26"/>
      <c r="K194" s="26"/>
      <c r="L194" s="12"/>
    </row>
    <row r="195" spans="3:12" ht="12.75" customHeight="1">
      <c r="C195" s="12"/>
      <c r="D195" s="26"/>
      <c r="E195" s="26"/>
      <c r="F195" s="26"/>
      <c r="G195" s="26"/>
      <c r="H195" s="26"/>
      <c r="I195" s="26"/>
      <c r="J195" s="26"/>
      <c r="K195" s="26"/>
      <c r="L195" s="12"/>
    </row>
    <row r="196" spans="3:12" ht="12.75" customHeight="1">
      <c r="C196" s="12"/>
      <c r="D196" s="26"/>
      <c r="E196" s="26"/>
      <c r="F196" s="26"/>
      <c r="G196" s="26"/>
      <c r="H196" s="26"/>
      <c r="I196" s="26"/>
      <c r="J196" s="26"/>
      <c r="K196" s="26"/>
      <c r="L196" s="12"/>
    </row>
    <row r="197" spans="3:12" ht="12.75" customHeight="1">
      <c r="C197" s="12"/>
      <c r="D197" s="26"/>
      <c r="E197" s="26"/>
      <c r="F197" s="26"/>
      <c r="G197" s="26"/>
      <c r="H197" s="26"/>
      <c r="I197" s="26"/>
      <c r="J197" s="26"/>
      <c r="K197" s="26"/>
      <c r="L197" s="12"/>
    </row>
    <row r="198" spans="3:12" ht="12.75" customHeight="1">
      <c r="C198" s="12"/>
      <c r="D198" s="26"/>
      <c r="E198" s="26"/>
      <c r="F198" s="26"/>
      <c r="G198" s="26"/>
      <c r="H198" s="26"/>
      <c r="I198" s="26"/>
      <c r="J198" s="26"/>
      <c r="K198" s="26"/>
      <c r="L198" s="12"/>
    </row>
    <row r="199" spans="3:12" ht="12.75" customHeight="1">
      <c r="C199" s="12"/>
      <c r="D199" s="26"/>
      <c r="E199" s="26"/>
      <c r="F199" s="26"/>
      <c r="G199" s="26"/>
      <c r="H199" s="26"/>
      <c r="I199" s="26"/>
      <c r="J199" s="26"/>
      <c r="K199" s="26"/>
      <c r="L199" s="12"/>
    </row>
    <row r="200" spans="3:12" ht="12.75" customHeight="1">
      <c r="C200" s="12"/>
      <c r="D200" s="26"/>
      <c r="E200" s="26"/>
      <c r="F200" s="26"/>
      <c r="G200" s="26"/>
      <c r="H200" s="26"/>
      <c r="I200" s="26"/>
      <c r="J200" s="26"/>
      <c r="K200" s="26"/>
      <c r="L200" s="12"/>
    </row>
    <row r="201" spans="3:12" ht="12.75" customHeight="1">
      <c r="C201" s="12"/>
      <c r="D201" s="12"/>
      <c r="E201" s="12"/>
      <c r="F201" s="12"/>
      <c r="G201" s="12"/>
      <c r="H201" s="12"/>
      <c r="I201" s="12"/>
      <c r="J201" s="12"/>
      <c r="K201" s="12"/>
      <c r="L201" s="12"/>
    </row>
    <row r="202" spans="3:12" ht="12.75" customHeight="1">
      <c r="C202" s="12"/>
      <c r="D202" s="12"/>
      <c r="E202" s="12"/>
      <c r="F202" s="12"/>
      <c r="G202" s="12"/>
      <c r="H202" s="12"/>
      <c r="I202" s="12"/>
      <c r="J202" s="12"/>
      <c r="K202" s="12"/>
      <c r="L202" s="12"/>
    </row>
    <row r="203" spans="3:12" ht="12.75" customHeight="1">
      <c r="C203" s="12"/>
      <c r="D203" s="12"/>
      <c r="E203" s="12"/>
      <c r="F203" s="12"/>
      <c r="G203" s="12"/>
      <c r="H203" s="12"/>
      <c r="I203" s="12"/>
      <c r="J203" s="12"/>
      <c r="K203" s="12"/>
      <c r="L203" s="12"/>
    </row>
    <row r="204" spans="3:12" ht="12.75" customHeight="1">
      <c r="C204" s="12"/>
      <c r="D204" s="12"/>
      <c r="E204" s="12"/>
      <c r="F204" s="12"/>
      <c r="G204" s="12"/>
      <c r="H204" s="12"/>
      <c r="I204" s="12"/>
      <c r="J204" s="12"/>
      <c r="K204" s="12"/>
      <c r="L204" s="12"/>
    </row>
    <row r="205" spans="3:12" ht="12.75" customHeight="1">
      <c r="C205" s="12"/>
      <c r="D205" s="12"/>
      <c r="E205" s="12"/>
      <c r="F205" s="12"/>
      <c r="G205" s="12"/>
      <c r="H205" s="12"/>
      <c r="I205" s="12"/>
      <c r="J205" s="12"/>
      <c r="K205" s="12"/>
      <c r="L205" s="12"/>
    </row>
    <row r="206" spans="3:12" ht="12.75" customHeight="1">
      <c r="C206" s="12"/>
      <c r="D206" s="12"/>
      <c r="E206" s="12"/>
      <c r="F206" s="12"/>
      <c r="G206" s="12"/>
      <c r="H206" s="12"/>
      <c r="I206" s="12"/>
      <c r="J206" s="12"/>
      <c r="K206" s="12"/>
      <c r="L206" s="12"/>
    </row>
    <row r="207" spans="3:12" ht="12.75" customHeight="1">
      <c r="C207" s="12"/>
      <c r="D207" s="12"/>
      <c r="E207" s="12"/>
      <c r="F207" s="12"/>
      <c r="G207" s="12"/>
      <c r="H207" s="12"/>
      <c r="I207" s="12"/>
      <c r="J207" s="12"/>
      <c r="K207" s="12"/>
      <c r="L207" s="12"/>
    </row>
    <row r="208" spans="3:12" ht="12.75" customHeight="1">
      <c r="C208" s="12"/>
      <c r="D208" s="12"/>
      <c r="E208" s="12"/>
      <c r="F208" s="12"/>
      <c r="G208" s="12"/>
      <c r="H208" s="12"/>
      <c r="I208" s="12"/>
      <c r="J208" s="12"/>
      <c r="K208" s="12"/>
      <c r="L208" s="12"/>
    </row>
    <row r="209" spans="3:12" ht="12.75" customHeight="1">
      <c r="C209" s="12"/>
      <c r="D209" s="12"/>
      <c r="E209" s="12"/>
      <c r="F209" s="12"/>
      <c r="G209" s="12"/>
      <c r="H209" s="12"/>
      <c r="I209" s="12"/>
      <c r="J209" s="12"/>
      <c r="K209" s="12"/>
      <c r="L209" s="12"/>
    </row>
    <row r="210" spans="3:12" ht="12.75" customHeight="1">
      <c r="C210" s="12"/>
      <c r="D210" s="12"/>
      <c r="E210" s="12"/>
      <c r="F210" s="12"/>
      <c r="G210" s="12"/>
      <c r="H210" s="12"/>
      <c r="I210" s="12"/>
      <c r="J210" s="12"/>
      <c r="K210" s="12"/>
      <c r="L210" s="12"/>
    </row>
    <row r="211" spans="3:12" ht="12.75" customHeight="1">
      <c r="C211" s="12"/>
      <c r="D211" s="12"/>
      <c r="E211" s="12"/>
      <c r="F211" s="12"/>
      <c r="G211" s="12"/>
      <c r="H211" s="12"/>
      <c r="I211" s="12"/>
      <c r="J211" s="12"/>
      <c r="K211" s="12"/>
      <c r="L211" s="12"/>
    </row>
    <row r="212" spans="3:12" ht="12.75" customHeight="1">
      <c r="C212" s="12"/>
      <c r="D212" s="12"/>
      <c r="E212" s="12"/>
      <c r="F212" s="12"/>
      <c r="G212" s="12"/>
      <c r="H212" s="12"/>
      <c r="I212" s="12"/>
      <c r="J212" s="12"/>
      <c r="K212" s="12"/>
      <c r="L212" s="12"/>
    </row>
    <row r="213" spans="3:12" ht="12.75" customHeight="1">
      <c r="C213" s="12"/>
      <c r="D213" s="12"/>
      <c r="E213" s="12"/>
      <c r="F213" s="12"/>
      <c r="G213" s="12"/>
      <c r="H213" s="12"/>
      <c r="I213" s="12"/>
      <c r="J213" s="12"/>
      <c r="K213" s="12"/>
      <c r="L213" s="12"/>
    </row>
    <row r="214" spans="3:12" ht="12.75" customHeight="1">
      <c r="C214" s="12"/>
      <c r="D214" s="12"/>
      <c r="E214" s="12"/>
      <c r="F214" s="12"/>
      <c r="G214" s="12"/>
      <c r="H214" s="12"/>
      <c r="I214" s="12"/>
      <c r="J214" s="12"/>
      <c r="K214" s="12"/>
      <c r="L214" s="12"/>
    </row>
    <row r="215" spans="3:12" ht="12.75" customHeight="1">
      <c r="C215" s="12"/>
      <c r="D215" s="12"/>
      <c r="E215" s="12"/>
      <c r="F215" s="12"/>
      <c r="G215" s="12"/>
      <c r="H215" s="12"/>
      <c r="I215" s="12"/>
      <c r="J215" s="12"/>
      <c r="K215" s="12"/>
      <c r="L215" s="12"/>
    </row>
    <row r="216" spans="3:12" ht="12.75" customHeight="1">
      <c r="C216" s="12"/>
      <c r="D216" s="12"/>
      <c r="E216" s="12"/>
      <c r="F216" s="12"/>
      <c r="G216" s="12"/>
      <c r="H216" s="12"/>
      <c r="I216" s="12"/>
      <c r="J216" s="12"/>
      <c r="K216" s="12"/>
      <c r="L216" s="12"/>
    </row>
    <row r="217" spans="3:12" ht="12.75" customHeight="1">
      <c r="C217" s="12"/>
      <c r="D217" s="12"/>
      <c r="E217" s="12"/>
      <c r="F217" s="12"/>
      <c r="G217" s="12"/>
      <c r="H217" s="12"/>
      <c r="I217" s="12"/>
      <c r="J217" s="12"/>
      <c r="K217" s="12"/>
      <c r="L217" s="12"/>
    </row>
    <row r="218" spans="3:12" ht="12.75" customHeight="1">
      <c r="C218" s="12"/>
      <c r="D218" s="12"/>
      <c r="E218" s="12"/>
      <c r="F218" s="12"/>
      <c r="G218" s="12"/>
      <c r="H218" s="12"/>
      <c r="I218" s="12"/>
      <c r="J218" s="12"/>
      <c r="K218" s="12"/>
      <c r="L218" s="12"/>
    </row>
    <row r="219" spans="3:12" ht="12.75" customHeight="1">
      <c r="C219" s="12"/>
      <c r="D219" s="12"/>
      <c r="E219" s="12"/>
      <c r="F219" s="12"/>
      <c r="G219" s="12"/>
      <c r="H219" s="12"/>
      <c r="I219" s="12"/>
      <c r="J219" s="12"/>
      <c r="K219" s="12"/>
      <c r="L219" s="12"/>
    </row>
    <row r="220" spans="3:12" ht="12.75" customHeight="1">
      <c r="C220" s="12"/>
      <c r="D220" s="12"/>
      <c r="E220" s="12"/>
      <c r="F220" s="12"/>
      <c r="G220" s="12"/>
      <c r="H220" s="12"/>
      <c r="I220" s="12"/>
      <c r="J220" s="12"/>
      <c r="K220" s="12"/>
      <c r="L220" s="12"/>
    </row>
    <row r="221" spans="3:12" ht="12.75" customHeight="1">
      <c r="C221" s="12"/>
      <c r="D221" s="12"/>
      <c r="E221" s="12"/>
      <c r="F221" s="12"/>
      <c r="G221" s="12"/>
      <c r="H221" s="12"/>
      <c r="I221" s="12"/>
      <c r="J221" s="12"/>
      <c r="K221" s="12"/>
      <c r="L221" s="12"/>
    </row>
    <row r="222" spans="3:12" ht="12.75" customHeight="1">
      <c r="C222" s="12"/>
      <c r="D222" s="12"/>
      <c r="E222" s="12"/>
      <c r="F222" s="12"/>
      <c r="G222" s="12"/>
      <c r="H222" s="12"/>
      <c r="I222" s="12"/>
      <c r="J222" s="12"/>
      <c r="K222" s="12"/>
      <c r="L222" s="12"/>
    </row>
    <row r="223" spans="3:12" ht="12.75" customHeight="1">
      <c r="C223" s="12"/>
      <c r="D223" s="12"/>
      <c r="E223" s="12"/>
      <c r="F223" s="12"/>
      <c r="G223" s="12"/>
      <c r="H223" s="12"/>
      <c r="I223" s="12"/>
      <c r="J223" s="12"/>
      <c r="K223" s="12"/>
      <c r="L223" s="12"/>
    </row>
    <row r="224" spans="3:12" ht="12.75" customHeight="1">
      <c r="C224" s="12"/>
      <c r="D224" s="12"/>
      <c r="E224" s="12"/>
      <c r="F224" s="12"/>
      <c r="G224" s="12"/>
      <c r="H224" s="12"/>
      <c r="I224" s="12"/>
      <c r="J224" s="12"/>
      <c r="K224" s="12"/>
      <c r="L224" s="12"/>
    </row>
    <row r="225" spans="3:12" ht="12.75" customHeight="1">
      <c r="C225" s="12"/>
      <c r="D225" s="12"/>
      <c r="E225" s="12"/>
      <c r="F225" s="12"/>
      <c r="G225" s="12"/>
      <c r="H225" s="12"/>
      <c r="I225" s="12"/>
      <c r="J225" s="12"/>
      <c r="K225" s="12"/>
      <c r="L225" s="12"/>
    </row>
    <row r="226" spans="3:12" ht="12.75" customHeight="1">
      <c r="C226" s="12"/>
      <c r="D226" s="12"/>
      <c r="E226" s="12"/>
      <c r="F226" s="12"/>
      <c r="G226" s="12"/>
      <c r="H226" s="12"/>
      <c r="I226" s="12"/>
      <c r="J226" s="12"/>
      <c r="K226" s="12"/>
      <c r="L226" s="12"/>
    </row>
    <row r="227" spans="3:12" ht="12.75" customHeight="1">
      <c r="C227" s="12"/>
      <c r="D227" s="12"/>
      <c r="E227" s="12"/>
      <c r="F227" s="12"/>
      <c r="G227" s="12"/>
      <c r="H227" s="12"/>
      <c r="I227" s="12"/>
      <c r="J227" s="12"/>
      <c r="K227" s="12"/>
      <c r="L227" s="12"/>
    </row>
    <row r="228" spans="3:12" ht="12.75" customHeight="1">
      <c r="C228" s="12"/>
      <c r="D228" s="12"/>
      <c r="E228" s="12"/>
      <c r="F228" s="12"/>
      <c r="G228" s="12"/>
      <c r="H228" s="12"/>
      <c r="I228" s="12"/>
      <c r="J228" s="12"/>
      <c r="K228" s="12"/>
      <c r="L228" s="12"/>
    </row>
    <row r="229" spans="3:12" ht="12.75" customHeight="1">
      <c r="C229" s="12"/>
      <c r="D229" s="12"/>
      <c r="E229" s="12"/>
      <c r="F229" s="12"/>
      <c r="G229" s="12"/>
      <c r="H229" s="12"/>
      <c r="I229" s="12"/>
      <c r="J229" s="12"/>
      <c r="K229" s="12"/>
      <c r="L229" s="12"/>
    </row>
    <row r="230" spans="3:12" ht="12.75" customHeight="1">
      <c r="C230" s="12"/>
      <c r="D230" s="12"/>
      <c r="E230" s="12"/>
      <c r="F230" s="12"/>
      <c r="G230" s="12"/>
      <c r="H230" s="12"/>
      <c r="I230" s="12"/>
      <c r="J230" s="12"/>
      <c r="K230" s="12"/>
      <c r="L230" s="12"/>
    </row>
    <row r="231" spans="3:12" ht="12.75" customHeight="1">
      <c r="C231" s="12"/>
      <c r="D231" s="12"/>
      <c r="E231" s="12"/>
      <c r="F231" s="12"/>
      <c r="G231" s="12"/>
      <c r="H231" s="12"/>
      <c r="I231" s="12"/>
      <c r="J231" s="12"/>
      <c r="K231" s="12"/>
      <c r="L231" s="12"/>
    </row>
    <row r="232" spans="3:12" ht="12.75" customHeight="1">
      <c r="C232" s="12"/>
      <c r="D232" s="12"/>
      <c r="E232" s="12"/>
      <c r="F232" s="12"/>
      <c r="G232" s="12"/>
      <c r="H232" s="12"/>
      <c r="I232" s="12"/>
      <c r="J232" s="12"/>
      <c r="K232" s="12"/>
      <c r="L232" s="12"/>
    </row>
    <row r="233" spans="3:12" ht="12.75" customHeight="1">
      <c r="C233" s="12"/>
      <c r="D233" s="12"/>
      <c r="E233" s="12"/>
      <c r="F233" s="12"/>
      <c r="G233" s="12"/>
      <c r="H233" s="12"/>
      <c r="I233" s="12"/>
      <c r="J233" s="12"/>
      <c r="K233" s="12"/>
      <c r="L233" s="12"/>
    </row>
    <row r="234" spans="3:12" ht="12.75" customHeight="1">
      <c r="C234" s="12"/>
      <c r="D234" s="12"/>
      <c r="E234" s="12"/>
      <c r="F234" s="12"/>
      <c r="G234" s="12"/>
      <c r="H234" s="12"/>
      <c r="I234" s="12"/>
      <c r="J234" s="12"/>
      <c r="K234" s="12"/>
      <c r="L234" s="12"/>
    </row>
    <row r="235" spans="3:12" ht="12.75" customHeight="1">
      <c r="C235" s="12"/>
      <c r="D235" s="12"/>
      <c r="E235" s="12"/>
      <c r="F235" s="12"/>
      <c r="G235" s="12"/>
      <c r="H235" s="12"/>
      <c r="I235" s="12"/>
      <c r="J235" s="12"/>
      <c r="K235" s="12"/>
      <c r="L235" s="12"/>
    </row>
    <row r="236" spans="3:12" ht="12.75" customHeight="1">
      <c r="C236" s="12"/>
      <c r="D236" s="12"/>
      <c r="E236" s="12"/>
      <c r="F236" s="12"/>
      <c r="G236" s="12"/>
      <c r="H236" s="12"/>
      <c r="I236" s="12"/>
      <c r="J236" s="12"/>
      <c r="K236" s="12"/>
      <c r="L236" s="12"/>
    </row>
    <row r="237" spans="3:12" ht="12.75" customHeight="1">
      <c r="C237" s="12"/>
      <c r="D237" s="12"/>
      <c r="E237" s="12"/>
      <c r="F237" s="12"/>
      <c r="G237" s="12"/>
      <c r="H237" s="12"/>
      <c r="I237" s="12"/>
      <c r="J237" s="12"/>
      <c r="K237" s="12"/>
      <c r="L237" s="12"/>
    </row>
    <row r="238" spans="3:12" ht="12.75" customHeight="1">
      <c r="C238" s="12"/>
      <c r="D238" s="12"/>
      <c r="E238" s="12"/>
      <c r="F238" s="12"/>
      <c r="G238" s="12"/>
      <c r="H238" s="12"/>
      <c r="I238" s="12"/>
      <c r="J238" s="12"/>
      <c r="K238" s="12"/>
      <c r="L238" s="12"/>
    </row>
    <row r="239" spans="3:12" ht="12.75" customHeight="1">
      <c r="C239" s="12"/>
      <c r="D239" s="12"/>
      <c r="E239" s="12"/>
      <c r="F239" s="12"/>
      <c r="G239" s="12"/>
      <c r="H239" s="12"/>
      <c r="I239" s="12"/>
      <c r="J239" s="12"/>
      <c r="K239" s="12"/>
      <c r="L239" s="12"/>
    </row>
    <row r="240" spans="3:12" ht="12.75" customHeight="1">
      <c r="C240" s="12"/>
      <c r="D240" s="12"/>
      <c r="E240" s="12"/>
      <c r="F240" s="12"/>
      <c r="G240" s="12"/>
      <c r="H240" s="12"/>
      <c r="I240" s="12"/>
      <c r="J240" s="12"/>
      <c r="K240" s="12"/>
      <c r="L240" s="12"/>
    </row>
    <row r="241" spans="3:12" ht="12.75" customHeight="1">
      <c r="C241" s="12"/>
      <c r="D241" s="12"/>
      <c r="E241" s="12"/>
      <c r="F241" s="12"/>
      <c r="G241" s="12"/>
      <c r="H241" s="12"/>
      <c r="I241" s="12"/>
      <c r="J241" s="12"/>
      <c r="K241" s="12"/>
      <c r="L241" s="12"/>
    </row>
    <row r="242" spans="3:12" ht="12.75" customHeight="1">
      <c r="C242" s="12"/>
      <c r="D242" s="12"/>
      <c r="E242" s="12"/>
      <c r="F242" s="12"/>
      <c r="G242" s="12"/>
      <c r="H242" s="12"/>
      <c r="I242" s="12"/>
      <c r="J242" s="12"/>
      <c r="K242" s="12"/>
      <c r="L242" s="12"/>
    </row>
    <row r="243" spans="3:12" ht="12.75" customHeight="1">
      <c r="C243" s="12"/>
      <c r="D243" s="12"/>
      <c r="E243" s="12"/>
      <c r="F243" s="12"/>
      <c r="G243" s="12"/>
      <c r="H243" s="12"/>
      <c r="I243" s="12"/>
      <c r="J243" s="12"/>
      <c r="K243" s="12"/>
      <c r="L243" s="12"/>
    </row>
    <row r="244" spans="3:12" ht="12.75" customHeight="1">
      <c r="C244" s="12"/>
      <c r="D244" s="12"/>
      <c r="E244" s="12"/>
      <c r="F244" s="12"/>
      <c r="G244" s="12"/>
      <c r="H244" s="12"/>
      <c r="I244" s="12"/>
      <c r="J244" s="12"/>
      <c r="K244" s="12"/>
      <c r="L244" s="12"/>
    </row>
    <row r="245" spans="3:12" ht="12.75" customHeight="1">
      <c r="C245" s="12"/>
      <c r="D245" s="12"/>
      <c r="E245" s="12"/>
      <c r="F245" s="12"/>
      <c r="G245" s="12"/>
      <c r="H245" s="12"/>
      <c r="I245" s="12"/>
      <c r="J245" s="12"/>
      <c r="K245" s="12"/>
      <c r="L245" s="12"/>
    </row>
    <row r="246" spans="3:12" ht="12.75" customHeight="1">
      <c r="C246" s="12"/>
      <c r="D246" s="12"/>
      <c r="E246" s="12"/>
      <c r="F246" s="12"/>
      <c r="G246" s="12"/>
      <c r="H246" s="12"/>
      <c r="I246" s="12"/>
      <c r="J246" s="12"/>
      <c r="K246" s="12"/>
      <c r="L246" s="12"/>
    </row>
    <row r="247" spans="3:12" ht="12.75" customHeight="1">
      <c r="C247" s="12"/>
      <c r="D247" s="12"/>
      <c r="E247" s="12"/>
      <c r="F247" s="12"/>
      <c r="G247" s="12"/>
      <c r="H247" s="12"/>
      <c r="I247" s="12"/>
      <c r="J247" s="12"/>
      <c r="K247" s="12"/>
      <c r="L247" s="12"/>
    </row>
    <row r="248" spans="3:12" ht="12.75" customHeight="1">
      <c r="C248" s="12"/>
      <c r="D248" s="12"/>
      <c r="E248" s="12"/>
      <c r="F248" s="12"/>
      <c r="G248" s="12"/>
      <c r="H248" s="12"/>
      <c r="I248" s="12"/>
      <c r="J248" s="12"/>
      <c r="K248" s="12"/>
      <c r="L248" s="12"/>
    </row>
    <row r="249" spans="3:12" ht="12.75" customHeight="1">
      <c r="C249" s="12"/>
      <c r="D249" s="12"/>
      <c r="E249" s="12"/>
      <c r="F249" s="12"/>
      <c r="G249" s="12"/>
      <c r="H249" s="12"/>
      <c r="I249" s="12"/>
      <c r="J249" s="12"/>
      <c r="K249" s="12"/>
      <c r="L249" s="12"/>
    </row>
    <row r="250" spans="3:12" ht="12.75" customHeight="1">
      <c r="C250" s="12"/>
      <c r="D250" s="12"/>
      <c r="E250" s="12"/>
      <c r="F250" s="12"/>
      <c r="G250" s="12"/>
      <c r="H250" s="12"/>
      <c r="I250" s="12"/>
      <c r="J250" s="12"/>
      <c r="K250" s="12"/>
      <c r="L250" s="12"/>
    </row>
    <row r="251" spans="3:12" ht="12.75" customHeight="1">
      <c r="C251" s="12"/>
      <c r="D251" s="12"/>
      <c r="E251" s="12"/>
      <c r="F251" s="12"/>
      <c r="G251" s="12"/>
      <c r="H251" s="12"/>
      <c r="I251" s="12"/>
      <c r="J251" s="12"/>
      <c r="K251" s="12"/>
      <c r="L251" s="12"/>
    </row>
    <row r="252" spans="3:12" ht="12.75" customHeight="1">
      <c r="C252" s="12"/>
      <c r="D252" s="12"/>
      <c r="E252" s="12"/>
      <c r="F252" s="12"/>
      <c r="G252" s="12"/>
      <c r="H252" s="12"/>
      <c r="I252" s="12"/>
      <c r="J252" s="12"/>
      <c r="K252" s="12"/>
      <c r="L252" s="12"/>
    </row>
    <row r="253" spans="3:12" ht="12.75" customHeight="1">
      <c r="C253" s="12"/>
      <c r="D253" s="12"/>
      <c r="E253" s="12"/>
      <c r="F253" s="12"/>
      <c r="G253" s="12"/>
      <c r="H253" s="12"/>
      <c r="I253" s="12"/>
      <c r="J253" s="12"/>
      <c r="K253" s="12"/>
      <c r="L253" s="12"/>
    </row>
    <row r="254" spans="3:12" ht="12.75" customHeight="1">
      <c r="C254" s="12"/>
      <c r="D254" s="12"/>
      <c r="E254" s="12"/>
      <c r="F254" s="12"/>
      <c r="G254" s="12"/>
      <c r="H254" s="12"/>
      <c r="I254" s="12"/>
      <c r="J254" s="12"/>
      <c r="K254" s="12"/>
      <c r="L254" s="12"/>
    </row>
    <row r="255" spans="3:12" ht="12.75" customHeight="1">
      <c r="C255" s="12"/>
      <c r="D255" s="12"/>
      <c r="E255" s="12"/>
      <c r="F255" s="12"/>
      <c r="G255" s="12"/>
      <c r="H255" s="12"/>
      <c r="I255" s="12"/>
      <c r="J255" s="12"/>
      <c r="K255" s="12"/>
      <c r="L255" s="12"/>
    </row>
    <row r="256" spans="3:12" ht="12.75" customHeight="1">
      <c r="C256" s="12"/>
      <c r="D256" s="12"/>
      <c r="E256" s="12"/>
      <c r="F256" s="12"/>
      <c r="G256" s="12"/>
      <c r="H256" s="12"/>
      <c r="I256" s="12"/>
      <c r="J256" s="12"/>
      <c r="K256" s="12"/>
      <c r="L256" s="12"/>
    </row>
    <row r="257" spans="3:12" ht="12.75" customHeight="1">
      <c r="C257" s="12"/>
      <c r="D257" s="12"/>
      <c r="E257" s="12"/>
      <c r="F257" s="12"/>
      <c r="G257" s="12"/>
      <c r="H257" s="12"/>
      <c r="I257" s="12"/>
      <c r="J257" s="12"/>
      <c r="K257" s="12"/>
      <c r="L257" s="12"/>
    </row>
    <row r="258" spans="3:12" ht="12.75" customHeight="1">
      <c r="C258" s="12"/>
      <c r="D258" s="12"/>
      <c r="E258" s="12"/>
      <c r="F258" s="12"/>
      <c r="G258" s="12"/>
      <c r="H258" s="12"/>
      <c r="I258" s="12"/>
      <c r="J258" s="12"/>
      <c r="K258" s="12"/>
      <c r="L258" s="12"/>
    </row>
    <row r="259" spans="3:12" ht="12.75" customHeight="1">
      <c r="C259" s="12"/>
      <c r="D259" s="12"/>
      <c r="E259" s="12"/>
      <c r="F259" s="12"/>
      <c r="G259" s="12"/>
      <c r="H259" s="12"/>
      <c r="I259" s="12"/>
      <c r="J259" s="12"/>
      <c r="K259" s="12"/>
      <c r="L259" s="12"/>
    </row>
    <row r="260" spans="3:12" ht="12.75" customHeight="1">
      <c r="C260" s="12"/>
      <c r="D260" s="12"/>
      <c r="E260" s="12"/>
      <c r="F260" s="12"/>
      <c r="G260" s="12"/>
      <c r="H260" s="12"/>
      <c r="I260" s="12"/>
      <c r="J260" s="12"/>
      <c r="K260" s="12"/>
      <c r="L260" s="12"/>
    </row>
    <row r="261" spans="3:12" ht="12.75" customHeight="1">
      <c r="C261" s="12"/>
      <c r="D261" s="12"/>
      <c r="E261" s="12"/>
      <c r="F261" s="12"/>
      <c r="G261" s="12"/>
      <c r="H261" s="12"/>
      <c r="I261" s="12"/>
      <c r="J261" s="12"/>
      <c r="K261" s="12"/>
      <c r="L261" s="12"/>
    </row>
    <row r="262" spans="3:12" ht="12.75" customHeight="1">
      <c r="C262" s="12"/>
      <c r="D262" s="12"/>
      <c r="E262" s="12"/>
      <c r="F262" s="12"/>
      <c r="G262" s="12"/>
      <c r="H262" s="12"/>
      <c r="I262" s="12"/>
      <c r="J262" s="12"/>
      <c r="K262" s="12"/>
      <c r="L262" s="12"/>
    </row>
    <row r="263" spans="3:12" ht="12.75" customHeight="1">
      <c r="C263" s="12"/>
      <c r="D263" s="12"/>
      <c r="E263" s="12"/>
      <c r="F263" s="12"/>
      <c r="G263" s="12"/>
      <c r="H263" s="12"/>
      <c r="I263" s="12"/>
      <c r="J263" s="12"/>
      <c r="K263" s="12"/>
      <c r="L263" s="12"/>
    </row>
    <row r="264" spans="3:12" ht="12.75" customHeight="1">
      <c r="C264" s="12"/>
      <c r="D264" s="12"/>
      <c r="E264" s="12"/>
      <c r="F264" s="12"/>
      <c r="G264" s="12"/>
      <c r="H264" s="12"/>
      <c r="I264" s="12"/>
      <c r="J264" s="12"/>
      <c r="K264" s="12"/>
      <c r="L264" s="12"/>
    </row>
    <row r="265" spans="3:12" ht="12.75" customHeight="1">
      <c r="C265" s="12"/>
      <c r="D265" s="12"/>
      <c r="E265" s="12"/>
      <c r="F265" s="12"/>
      <c r="G265" s="12"/>
      <c r="H265" s="12"/>
      <c r="I265" s="12"/>
      <c r="J265" s="12"/>
      <c r="K265" s="12"/>
      <c r="L265" s="12"/>
    </row>
    <row r="266" spans="3:12" ht="12.75" customHeight="1">
      <c r="C266" s="12"/>
      <c r="D266" s="12"/>
      <c r="E266" s="12"/>
      <c r="F266" s="12"/>
      <c r="G266" s="12"/>
      <c r="H266" s="12"/>
      <c r="I266" s="12"/>
      <c r="J266" s="12"/>
      <c r="K266" s="12"/>
      <c r="L266" s="12"/>
    </row>
    <row r="267" spans="3:12" ht="12.75" customHeight="1">
      <c r="C267" s="12"/>
      <c r="D267" s="12"/>
      <c r="E267" s="12"/>
      <c r="F267" s="12"/>
      <c r="G267" s="12"/>
      <c r="H267" s="12"/>
      <c r="I267" s="12"/>
      <c r="J267" s="12"/>
      <c r="K267" s="12"/>
      <c r="L267" s="12"/>
    </row>
    <row r="268" spans="3:12" ht="12.75" customHeight="1">
      <c r="C268" s="12"/>
      <c r="D268" s="12"/>
      <c r="E268" s="12"/>
      <c r="F268" s="12"/>
      <c r="G268" s="12"/>
      <c r="H268" s="12"/>
      <c r="I268" s="12"/>
      <c r="J268" s="12"/>
      <c r="K268" s="12"/>
      <c r="L268" s="12"/>
    </row>
    <row r="269" spans="3:12" ht="12.75" customHeight="1">
      <c r="C269" s="12"/>
      <c r="D269" s="12"/>
      <c r="E269" s="12"/>
      <c r="F269" s="12"/>
      <c r="G269" s="12"/>
      <c r="H269" s="12"/>
      <c r="I269" s="12"/>
      <c r="J269" s="12"/>
      <c r="K269" s="12"/>
      <c r="L269" s="12"/>
    </row>
    <row r="270" spans="3:12" ht="12.75" customHeight="1">
      <c r="C270" s="12"/>
      <c r="D270" s="12"/>
      <c r="E270" s="12"/>
      <c r="F270" s="12"/>
      <c r="G270" s="12"/>
      <c r="H270" s="12"/>
      <c r="I270" s="12"/>
      <c r="J270" s="12"/>
      <c r="K270" s="12"/>
      <c r="L270" s="12"/>
    </row>
    <row r="271" spans="3:12" ht="12.75" customHeight="1">
      <c r="C271" s="12"/>
      <c r="D271" s="12"/>
      <c r="E271" s="12"/>
      <c r="F271" s="12"/>
      <c r="G271" s="12"/>
      <c r="H271" s="12"/>
      <c r="I271" s="12"/>
      <c r="J271" s="12"/>
      <c r="K271" s="12"/>
      <c r="L271" s="12"/>
    </row>
    <row r="272" spans="3:12" ht="12.75" customHeight="1">
      <c r="C272" s="12"/>
      <c r="D272" s="12"/>
      <c r="E272" s="12"/>
      <c r="F272" s="12"/>
      <c r="G272" s="12"/>
      <c r="H272" s="12"/>
      <c r="I272" s="12"/>
      <c r="J272" s="12"/>
      <c r="K272" s="12"/>
      <c r="L272" s="12"/>
    </row>
    <row r="273" spans="3:12" ht="12.75" customHeight="1">
      <c r="C273" s="12"/>
      <c r="D273" s="12"/>
      <c r="E273" s="12"/>
      <c r="F273" s="12"/>
      <c r="G273" s="12"/>
      <c r="H273" s="12"/>
      <c r="I273" s="12"/>
      <c r="J273" s="12"/>
      <c r="K273" s="12"/>
      <c r="L273" s="12"/>
    </row>
    <row r="274" spans="3:12" ht="12.75" customHeight="1">
      <c r="C274" s="12"/>
      <c r="D274" s="12"/>
      <c r="E274" s="12"/>
      <c r="F274" s="12"/>
      <c r="G274" s="12"/>
      <c r="H274" s="12"/>
      <c r="I274" s="12"/>
      <c r="J274" s="12"/>
      <c r="K274" s="12"/>
      <c r="L274" s="12"/>
    </row>
    <row r="275" spans="3:12" ht="12.75" customHeight="1">
      <c r="C275" s="12"/>
      <c r="D275" s="12"/>
      <c r="E275" s="12"/>
      <c r="F275" s="12"/>
      <c r="G275" s="12"/>
      <c r="H275" s="12"/>
      <c r="I275" s="12"/>
      <c r="J275" s="12"/>
      <c r="K275" s="12"/>
      <c r="L275" s="12"/>
    </row>
    <row r="276" spans="3:12" ht="12.75" customHeight="1">
      <c r="C276" s="12"/>
      <c r="D276" s="12"/>
      <c r="E276" s="12"/>
      <c r="F276" s="12"/>
      <c r="G276" s="12"/>
      <c r="H276" s="12"/>
      <c r="I276" s="12"/>
      <c r="J276" s="12"/>
      <c r="K276" s="12"/>
      <c r="L276" s="12"/>
    </row>
    <row r="277" spans="3:12" ht="12.75" customHeight="1">
      <c r="C277" s="12"/>
      <c r="D277" s="12"/>
      <c r="E277" s="12"/>
      <c r="F277" s="12"/>
      <c r="G277" s="12"/>
      <c r="H277" s="12"/>
      <c r="I277" s="12"/>
      <c r="J277" s="12"/>
      <c r="K277" s="12"/>
      <c r="L277" s="12"/>
    </row>
    <row r="278" spans="3:12" ht="12.75" customHeight="1">
      <c r="C278" s="12"/>
      <c r="D278" s="12"/>
      <c r="E278" s="12"/>
      <c r="F278" s="12"/>
      <c r="G278" s="12"/>
      <c r="H278" s="12"/>
      <c r="I278" s="12"/>
      <c r="J278" s="12"/>
      <c r="K278" s="12"/>
      <c r="L278" s="12"/>
    </row>
    <row r="279" spans="3:12" ht="12.75" customHeight="1">
      <c r="C279" s="12"/>
      <c r="D279" s="12"/>
      <c r="E279" s="12"/>
      <c r="F279" s="12"/>
      <c r="G279" s="12"/>
      <c r="H279" s="12"/>
      <c r="I279" s="12"/>
      <c r="J279" s="12"/>
      <c r="K279" s="12"/>
      <c r="L279" s="12"/>
    </row>
    <row r="280" spans="3:12" ht="12.75" customHeight="1">
      <c r="C280" s="12"/>
      <c r="D280" s="12"/>
      <c r="E280" s="12"/>
      <c r="F280" s="12"/>
      <c r="G280" s="12"/>
      <c r="H280" s="12"/>
      <c r="I280" s="12"/>
      <c r="J280" s="12"/>
      <c r="K280" s="12"/>
      <c r="L280" s="12"/>
    </row>
    <row r="281" spans="3:12" ht="12.75" customHeight="1">
      <c r="C281" s="12"/>
      <c r="D281" s="12"/>
      <c r="E281" s="12"/>
      <c r="F281" s="12"/>
      <c r="G281" s="12"/>
      <c r="H281" s="12"/>
      <c r="I281" s="12"/>
      <c r="J281" s="12"/>
      <c r="K281" s="12"/>
      <c r="L281" s="12"/>
    </row>
    <row r="282" spans="3:12" ht="12.75" customHeight="1">
      <c r="C282" s="12"/>
      <c r="D282" s="12"/>
      <c r="E282" s="12"/>
      <c r="F282" s="12"/>
      <c r="G282" s="12"/>
      <c r="H282" s="12"/>
      <c r="I282" s="12"/>
      <c r="J282" s="12"/>
      <c r="K282" s="12"/>
      <c r="L282" s="12"/>
    </row>
    <row r="283" spans="3:12" ht="12.75" customHeight="1">
      <c r="C283" s="12"/>
      <c r="D283" s="12"/>
      <c r="E283" s="12"/>
      <c r="F283" s="12"/>
      <c r="G283" s="12"/>
      <c r="H283" s="12"/>
      <c r="I283" s="12"/>
      <c r="J283" s="12"/>
      <c r="K283" s="12"/>
      <c r="L283" s="12"/>
    </row>
    <row r="284" spans="3:12" ht="12.75" customHeight="1">
      <c r="C284" s="12"/>
      <c r="D284" s="12"/>
      <c r="E284" s="12"/>
      <c r="F284" s="12"/>
      <c r="G284" s="12"/>
      <c r="H284" s="12"/>
      <c r="I284" s="12"/>
      <c r="J284" s="12"/>
      <c r="K284" s="12"/>
      <c r="L284" s="12"/>
    </row>
    <row r="285" spans="3:12" ht="12.75" customHeight="1">
      <c r="C285" s="12"/>
      <c r="D285" s="12"/>
      <c r="E285" s="12"/>
      <c r="F285" s="12"/>
      <c r="G285" s="12"/>
      <c r="H285" s="12"/>
      <c r="I285" s="12"/>
      <c r="J285" s="12"/>
      <c r="K285" s="12"/>
      <c r="L285" s="12"/>
    </row>
    <row r="286" spans="3:12" ht="12.75" customHeight="1">
      <c r="C286" s="12"/>
      <c r="D286" s="12"/>
      <c r="E286" s="12"/>
      <c r="F286" s="12"/>
      <c r="G286" s="12"/>
      <c r="H286" s="12"/>
      <c r="I286" s="12"/>
      <c r="J286" s="12"/>
      <c r="K286" s="12"/>
      <c r="L286" s="12"/>
    </row>
    <row r="287" spans="3:12" ht="12.75" customHeight="1">
      <c r="C287" s="12"/>
      <c r="D287" s="12"/>
      <c r="E287" s="12"/>
      <c r="F287" s="12"/>
      <c r="G287" s="12"/>
      <c r="H287" s="12"/>
      <c r="I287" s="12"/>
      <c r="J287" s="12"/>
      <c r="K287" s="12"/>
      <c r="L287" s="12"/>
    </row>
    <row r="288" spans="3:12" ht="12.75" customHeight="1">
      <c r="C288" s="12"/>
      <c r="D288" s="12"/>
      <c r="E288" s="12"/>
      <c r="F288" s="12"/>
      <c r="G288" s="12"/>
      <c r="H288" s="12"/>
      <c r="I288" s="12"/>
      <c r="J288" s="12"/>
      <c r="K288" s="12"/>
      <c r="L288" s="12"/>
    </row>
    <row r="289" spans="3:12" ht="12.75" customHeight="1">
      <c r="C289" s="12"/>
      <c r="D289" s="12"/>
      <c r="E289" s="12"/>
      <c r="F289" s="12"/>
      <c r="G289" s="12"/>
      <c r="H289" s="12"/>
      <c r="I289" s="12"/>
      <c r="J289" s="12"/>
      <c r="K289" s="12"/>
      <c r="L289" s="12"/>
    </row>
    <row r="290" spans="3:12" ht="12.75" customHeight="1">
      <c r="C290" s="12"/>
      <c r="D290" s="12"/>
      <c r="E290" s="12"/>
      <c r="F290" s="12"/>
      <c r="G290" s="12"/>
      <c r="H290" s="12"/>
      <c r="I290" s="12"/>
      <c r="J290" s="12"/>
      <c r="K290" s="12"/>
      <c r="L290" s="12"/>
    </row>
    <row r="291" spans="3:12" ht="12.75" customHeight="1">
      <c r="C291" s="12"/>
      <c r="D291" s="12"/>
      <c r="E291" s="12"/>
      <c r="F291" s="12"/>
      <c r="G291" s="12"/>
      <c r="H291" s="12"/>
      <c r="I291" s="12"/>
      <c r="J291" s="12"/>
      <c r="K291" s="12"/>
      <c r="L291" s="12"/>
    </row>
    <row r="292" spans="3:12" ht="12.75" customHeight="1">
      <c r="C292" s="12"/>
      <c r="D292" s="12"/>
      <c r="E292" s="12"/>
      <c r="F292" s="12"/>
      <c r="G292" s="12"/>
      <c r="H292" s="12"/>
      <c r="I292" s="12"/>
      <c r="J292" s="12"/>
      <c r="K292" s="12"/>
      <c r="L292" s="12"/>
    </row>
    <row r="293" spans="3:12" ht="12.75" customHeight="1">
      <c r="C293" s="12"/>
      <c r="D293" s="12"/>
      <c r="E293" s="12"/>
      <c r="F293" s="12"/>
      <c r="G293" s="12"/>
      <c r="H293" s="12"/>
      <c r="I293" s="12"/>
      <c r="J293" s="12"/>
      <c r="K293" s="12"/>
      <c r="L293" s="12"/>
    </row>
    <row r="294" spans="3:12" ht="12.75" customHeight="1">
      <c r="C294" s="12"/>
      <c r="D294" s="12"/>
      <c r="E294" s="12"/>
      <c r="F294" s="12"/>
      <c r="G294" s="12"/>
      <c r="H294" s="12"/>
      <c r="I294" s="12"/>
      <c r="J294" s="12"/>
      <c r="K294" s="12"/>
      <c r="L294" s="12"/>
    </row>
    <row r="295" spans="3:12" ht="12.75" customHeight="1">
      <c r="C295" s="12"/>
      <c r="D295" s="12"/>
      <c r="E295" s="12"/>
      <c r="F295" s="12"/>
      <c r="G295" s="12"/>
      <c r="H295" s="12"/>
      <c r="I295" s="12"/>
      <c r="J295" s="12"/>
      <c r="K295" s="12"/>
      <c r="L295" s="12"/>
    </row>
    <row r="296" spans="3:12" ht="12.75" customHeight="1">
      <c r="C296" s="12"/>
      <c r="D296" s="12"/>
      <c r="E296" s="12"/>
      <c r="F296" s="12"/>
      <c r="G296" s="12"/>
      <c r="H296" s="12"/>
      <c r="I296" s="12"/>
      <c r="J296" s="12"/>
      <c r="K296" s="12"/>
      <c r="L296" s="12"/>
    </row>
    <row r="297" spans="3:12" ht="12.75" customHeight="1">
      <c r="C297" s="12"/>
      <c r="D297" s="12"/>
      <c r="E297" s="12"/>
      <c r="F297" s="12"/>
      <c r="G297" s="12"/>
      <c r="H297" s="12"/>
      <c r="I297" s="12"/>
      <c r="J297" s="12"/>
      <c r="K297" s="12"/>
      <c r="L297" s="12"/>
    </row>
    <row r="298" spans="3:12" ht="12.75" customHeight="1">
      <c r="C298" s="12"/>
      <c r="D298" s="12"/>
      <c r="E298" s="12"/>
      <c r="F298" s="12"/>
      <c r="G298" s="12"/>
      <c r="H298" s="12"/>
      <c r="I298" s="12"/>
      <c r="J298" s="12"/>
      <c r="K298" s="12"/>
      <c r="L298" s="12"/>
    </row>
    <row r="299" spans="3:12" ht="12.75" customHeight="1">
      <c r="C299" s="12"/>
      <c r="D299" s="12"/>
      <c r="E299" s="12"/>
      <c r="F299" s="12"/>
      <c r="G299" s="12"/>
      <c r="H299" s="12"/>
      <c r="I299" s="12"/>
      <c r="J299" s="12"/>
      <c r="K299" s="12"/>
      <c r="L299" s="12"/>
    </row>
    <row r="300" spans="3:12" ht="12.75" customHeight="1">
      <c r="C300" s="12"/>
      <c r="D300" s="12"/>
      <c r="E300" s="12"/>
      <c r="F300" s="12"/>
      <c r="G300" s="12"/>
      <c r="H300" s="12"/>
      <c r="I300" s="12"/>
      <c r="J300" s="12"/>
      <c r="K300" s="12"/>
      <c r="L300" s="12"/>
    </row>
    <row r="301" spans="3:12" ht="12.75" customHeight="1">
      <c r="C301" s="12"/>
      <c r="D301" s="12"/>
      <c r="E301" s="12"/>
      <c r="F301" s="12"/>
      <c r="G301" s="12"/>
      <c r="H301" s="12"/>
      <c r="I301" s="12"/>
      <c r="J301" s="12"/>
      <c r="K301" s="12"/>
      <c r="L301" s="12"/>
    </row>
    <row r="302" spans="3:12" ht="12.75" customHeight="1">
      <c r="C302" s="12"/>
      <c r="D302" s="12"/>
      <c r="E302" s="12"/>
      <c r="F302" s="12"/>
      <c r="G302" s="12"/>
      <c r="H302" s="12"/>
      <c r="I302" s="12"/>
      <c r="J302" s="12"/>
      <c r="K302" s="12"/>
      <c r="L302" s="12"/>
    </row>
    <row r="303" spans="3:12" ht="12.75" customHeight="1">
      <c r="C303" s="12"/>
      <c r="D303" s="12"/>
      <c r="E303" s="12"/>
      <c r="F303" s="12"/>
      <c r="G303" s="12"/>
      <c r="H303" s="12"/>
      <c r="I303" s="12"/>
      <c r="J303" s="12"/>
      <c r="K303" s="12"/>
      <c r="L303" s="12"/>
    </row>
    <row r="304" spans="3:12" ht="12.75" customHeight="1">
      <c r="C304" s="12"/>
      <c r="D304" s="12"/>
      <c r="E304" s="12"/>
      <c r="F304" s="12"/>
      <c r="G304" s="12"/>
      <c r="H304" s="12"/>
      <c r="I304" s="12"/>
      <c r="J304" s="12"/>
      <c r="K304" s="12"/>
      <c r="L304" s="12"/>
    </row>
    <row r="305" spans="3:12" ht="12.75" customHeight="1">
      <c r="C305" s="12"/>
      <c r="D305" s="12"/>
      <c r="E305" s="12"/>
      <c r="F305" s="12"/>
      <c r="G305" s="12"/>
      <c r="H305" s="12"/>
      <c r="I305" s="12"/>
      <c r="J305" s="12"/>
      <c r="K305" s="12"/>
      <c r="L305" s="12"/>
    </row>
    <row r="306" spans="3:12" ht="12.75" customHeight="1">
      <c r="C306" s="12"/>
      <c r="D306" s="12"/>
      <c r="E306" s="12"/>
      <c r="F306" s="12"/>
      <c r="G306" s="12"/>
      <c r="H306" s="12"/>
      <c r="I306" s="12"/>
      <c r="J306" s="12"/>
      <c r="K306" s="12"/>
      <c r="L306" s="12"/>
    </row>
    <row r="307" spans="3:12" ht="12.75" customHeight="1">
      <c r="C307" s="12"/>
      <c r="D307" s="12"/>
      <c r="E307" s="12"/>
      <c r="F307" s="12"/>
      <c r="G307" s="12"/>
      <c r="H307" s="12"/>
      <c r="I307" s="12"/>
      <c r="J307" s="12"/>
      <c r="K307" s="12"/>
      <c r="L307" s="12"/>
    </row>
    <row r="308" spans="3:12" ht="12.75" customHeight="1">
      <c r="C308" s="12"/>
      <c r="D308" s="12"/>
      <c r="E308" s="12"/>
      <c r="F308" s="12"/>
      <c r="G308" s="12"/>
      <c r="H308" s="12"/>
      <c r="I308" s="12"/>
      <c r="J308" s="12"/>
      <c r="K308" s="12"/>
      <c r="L308" s="12"/>
    </row>
    <row r="309" spans="3:12" ht="12.75" customHeight="1">
      <c r="C309" s="12"/>
      <c r="D309" s="12"/>
      <c r="E309" s="12"/>
      <c r="F309" s="12"/>
      <c r="G309" s="12"/>
      <c r="H309" s="12"/>
      <c r="I309" s="12"/>
      <c r="J309" s="12"/>
      <c r="K309" s="12"/>
      <c r="L309" s="12"/>
    </row>
    <row r="310" spans="3:12" ht="12.75" customHeight="1">
      <c r="C310" s="12"/>
      <c r="D310" s="12"/>
      <c r="E310" s="12"/>
      <c r="F310" s="12"/>
      <c r="G310" s="12"/>
      <c r="H310" s="12"/>
      <c r="I310" s="12"/>
      <c r="J310" s="12"/>
      <c r="K310" s="12"/>
      <c r="L310" s="12"/>
    </row>
    <row r="311" spans="3:12" ht="12.75" customHeight="1">
      <c r="C311" s="12"/>
      <c r="D311" s="12"/>
      <c r="E311" s="12"/>
      <c r="F311" s="12"/>
      <c r="G311" s="12"/>
      <c r="H311" s="12"/>
      <c r="I311" s="12"/>
      <c r="J311" s="12"/>
      <c r="K311" s="12"/>
      <c r="L311" s="12"/>
    </row>
    <row r="312" spans="3:12" ht="12.75" customHeight="1">
      <c r="C312" s="12"/>
      <c r="D312" s="12"/>
      <c r="E312" s="12"/>
      <c r="F312" s="12"/>
      <c r="G312" s="12"/>
      <c r="H312" s="12"/>
      <c r="I312" s="12"/>
      <c r="J312" s="12"/>
      <c r="K312" s="12"/>
      <c r="L312" s="12"/>
    </row>
    <row r="313" spans="3:12" ht="12.75" customHeight="1">
      <c r="C313" s="12"/>
      <c r="D313" s="12"/>
      <c r="E313" s="12"/>
      <c r="F313" s="12"/>
      <c r="G313" s="12"/>
      <c r="H313" s="12"/>
      <c r="I313" s="12"/>
      <c r="J313" s="12"/>
      <c r="K313" s="12"/>
      <c r="L313" s="12"/>
    </row>
    <row r="314" spans="3:12" ht="12.75" customHeight="1">
      <c r="C314" s="12"/>
      <c r="D314" s="12"/>
      <c r="E314" s="12"/>
      <c r="F314" s="12"/>
      <c r="G314" s="12"/>
      <c r="H314" s="12"/>
      <c r="I314" s="12"/>
      <c r="J314" s="12"/>
      <c r="K314" s="12"/>
      <c r="L314" s="12"/>
    </row>
    <row r="315" spans="3:12" ht="12.75" customHeight="1">
      <c r="C315" s="12"/>
      <c r="D315" s="12"/>
      <c r="E315" s="12"/>
      <c r="F315" s="12"/>
      <c r="G315" s="12"/>
      <c r="H315" s="12"/>
      <c r="I315" s="12"/>
      <c r="J315" s="12"/>
      <c r="K315" s="12"/>
      <c r="L315" s="12"/>
    </row>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sheetData>
  <sheetProtection password="C8AE" sheet="1" objects="1" scenarios="1" selectLockedCells="1"/>
  <mergeCells count="1">
    <mergeCell ref="D6:I7"/>
  </mergeCells>
  <printOptions horizontalCentered="1"/>
  <pageMargins left="0" right="0" top="0.3937007874015748" bottom="0" header="0" footer="0"/>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ul6"/>
  <dimension ref="A2:AR315"/>
  <sheetViews>
    <sheetView showGridLines="0" showRowColHeaders="0" zoomScalePageLayoutView="0" workbookViewId="0" topLeftCell="A1">
      <selection activeCell="F19" sqref="F19"/>
    </sheetView>
  </sheetViews>
  <sheetFormatPr defaultColWidth="9.140625" defaultRowHeight="12.75"/>
  <cols>
    <col min="1" max="3" width="3.140625" style="9" customWidth="1"/>
    <col min="4" max="4" width="5.7109375" style="9" customWidth="1"/>
    <col min="5" max="5" width="24.00390625" style="9" customWidth="1"/>
    <col min="6" max="6" width="32.28125" style="9" customWidth="1"/>
    <col min="7" max="12" width="8.8515625" style="9" customWidth="1"/>
    <col min="13" max="13" width="9.7109375" style="9" customWidth="1"/>
    <col min="14" max="14" width="3.140625" style="9" customWidth="1"/>
    <col min="15" max="27" width="9.421875" style="9" customWidth="1"/>
    <col min="28" max="29" width="3.140625" style="9" customWidth="1"/>
    <col min="30" max="30" width="9.140625" style="94" customWidth="1"/>
    <col min="31" max="46" width="9.140625" style="99" customWidth="1"/>
    <col min="47" max="16384" width="9.140625" style="95" customWidth="1"/>
  </cols>
  <sheetData>
    <row r="2" spans="2:29" ht="12.75" customHeight="1">
      <c r="B2" s="61"/>
      <c r="C2" s="62"/>
      <c r="D2" s="62"/>
      <c r="E2" s="62"/>
      <c r="F2" s="62"/>
      <c r="G2" s="62"/>
      <c r="H2" s="62"/>
      <c r="I2" s="62"/>
      <c r="J2" s="62"/>
      <c r="K2" s="62"/>
      <c r="L2" s="62"/>
      <c r="M2" s="62"/>
      <c r="N2" s="347"/>
      <c r="O2" s="347"/>
      <c r="P2" s="347"/>
      <c r="Q2" s="347"/>
      <c r="R2" s="347"/>
      <c r="S2" s="347"/>
      <c r="T2" s="347"/>
      <c r="U2" s="347"/>
      <c r="V2" s="347"/>
      <c r="W2" s="347"/>
      <c r="X2" s="347"/>
      <c r="Y2" s="347"/>
      <c r="Z2" s="347"/>
      <c r="AA2" s="782" t="str">
        <f>Aloitus!D19</f>
        <v>Versio 1.4</v>
      </c>
      <c r="AB2" s="866"/>
      <c r="AC2" s="63"/>
    </row>
    <row r="3" spans="2:44" ht="7.5" customHeight="1">
      <c r="B3" s="64"/>
      <c r="C3" s="65"/>
      <c r="D3" s="66"/>
      <c r="E3" s="66"/>
      <c r="F3" s="66"/>
      <c r="G3" s="67"/>
      <c r="H3" s="66"/>
      <c r="I3" s="66"/>
      <c r="J3" s="67"/>
      <c r="K3" s="67"/>
      <c r="L3" s="67"/>
      <c r="M3" s="67"/>
      <c r="N3" s="67"/>
      <c r="O3" s="65"/>
      <c r="P3" s="67"/>
      <c r="Q3" s="67"/>
      <c r="R3" s="67"/>
      <c r="S3" s="67"/>
      <c r="T3" s="67"/>
      <c r="U3" s="67"/>
      <c r="V3" s="67"/>
      <c r="W3" s="67"/>
      <c r="X3" s="67"/>
      <c r="Y3" s="67"/>
      <c r="Z3" s="67"/>
      <c r="AA3" s="67"/>
      <c r="AB3" s="68"/>
      <c r="AC3" s="69"/>
      <c r="AE3" s="102"/>
      <c r="AF3" s="102"/>
      <c r="AG3" s="102"/>
      <c r="AH3" s="102"/>
      <c r="AI3" s="102"/>
      <c r="AJ3" s="102"/>
      <c r="AK3" s="102"/>
      <c r="AL3" s="102"/>
      <c r="AM3" s="102"/>
      <c r="AN3" s="102"/>
      <c r="AO3" s="102"/>
      <c r="AP3" s="102"/>
      <c r="AQ3" s="102"/>
      <c r="AR3" s="102"/>
    </row>
    <row r="4" spans="2:44" ht="12" customHeight="1">
      <c r="B4" s="64"/>
      <c r="C4" s="70"/>
      <c r="D4" s="71"/>
      <c r="E4" s="71"/>
      <c r="F4" s="71"/>
      <c r="G4" s="72"/>
      <c r="H4" s="72"/>
      <c r="I4" s="72"/>
      <c r="J4" s="72"/>
      <c r="K4" s="72"/>
      <c r="L4" s="71"/>
      <c r="M4" s="71"/>
      <c r="N4" s="71"/>
      <c r="O4" s="70"/>
      <c r="P4" s="71"/>
      <c r="Q4" s="71"/>
      <c r="R4" s="71"/>
      <c r="S4" s="71"/>
      <c r="T4" s="71"/>
      <c r="U4" s="71"/>
      <c r="V4" s="71"/>
      <c r="W4" s="71"/>
      <c r="X4" s="71"/>
      <c r="Y4" s="71"/>
      <c r="Z4" s="71"/>
      <c r="AA4" s="71"/>
      <c r="AB4" s="73"/>
      <c r="AC4" s="74"/>
      <c r="AE4" s="102"/>
      <c r="AF4" s="102"/>
      <c r="AG4" s="102"/>
      <c r="AH4" s="102"/>
      <c r="AI4" s="102"/>
      <c r="AJ4" s="102"/>
      <c r="AK4" s="102"/>
      <c r="AL4" s="102"/>
      <c r="AM4" s="102"/>
      <c r="AN4" s="102"/>
      <c r="AO4" s="102"/>
      <c r="AP4" s="102"/>
      <c r="AQ4" s="102"/>
      <c r="AR4" s="102"/>
    </row>
    <row r="5" spans="2:44" ht="7.5" customHeight="1">
      <c r="B5" s="64"/>
      <c r="C5" s="70"/>
      <c r="D5" s="71"/>
      <c r="E5" s="71"/>
      <c r="F5" s="71"/>
      <c r="G5" s="75"/>
      <c r="H5" s="75"/>
      <c r="I5" s="75"/>
      <c r="J5" s="71"/>
      <c r="K5" s="71"/>
      <c r="L5" s="71"/>
      <c r="M5" s="71"/>
      <c r="N5" s="71"/>
      <c r="O5" s="70"/>
      <c r="P5" s="71"/>
      <c r="Q5" s="71"/>
      <c r="R5" s="71"/>
      <c r="S5" s="71"/>
      <c r="T5" s="71"/>
      <c r="U5" s="71"/>
      <c r="V5" s="71"/>
      <c r="W5" s="71"/>
      <c r="X5" s="71"/>
      <c r="Y5" s="71"/>
      <c r="Z5" s="71"/>
      <c r="AA5" s="71"/>
      <c r="AB5" s="73"/>
      <c r="AC5" s="74"/>
      <c r="AE5" s="102"/>
      <c r="AF5" s="24"/>
      <c r="AG5" s="97"/>
      <c r="AH5" s="24"/>
      <c r="AI5" s="102"/>
      <c r="AJ5" s="102"/>
      <c r="AK5" s="24"/>
      <c r="AL5" s="24"/>
      <c r="AM5" s="24"/>
      <c r="AN5" s="24"/>
      <c r="AO5" s="24"/>
      <c r="AP5" s="102"/>
      <c r="AQ5" s="102"/>
      <c r="AR5" s="102"/>
    </row>
    <row r="6" spans="2:44" ht="12" customHeight="1">
      <c r="B6" s="64"/>
      <c r="C6" s="70"/>
      <c r="D6" s="864" t="s">
        <v>141</v>
      </c>
      <c r="E6" s="865"/>
      <c r="F6" s="865"/>
      <c r="G6" s="865"/>
      <c r="H6" s="865"/>
      <c r="I6" s="865"/>
      <c r="J6" s="865"/>
      <c r="K6" s="865"/>
      <c r="L6" s="865"/>
      <c r="M6" s="55"/>
      <c r="N6" s="55"/>
      <c r="O6" s="113"/>
      <c r="P6" s="55"/>
      <c r="Q6" s="55"/>
      <c r="R6" s="55"/>
      <c r="S6" s="55"/>
      <c r="T6" s="55"/>
      <c r="U6" s="55"/>
      <c r="V6" s="55"/>
      <c r="W6" s="55"/>
      <c r="X6" s="55"/>
      <c r="Y6" s="55"/>
      <c r="Z6" s="55"/>
      <c r="AA6" s="55"/>
      <c r="AB6" s="73"/>
      <c r="AC6" s="74"/>
      <c r="AE6" s="102"/>
      <c r="AF6" s="102"/>
      <c r="AG6" s="102"/>
      <c r="AH6" s="101"/>
      <c r="AI6" s="106"/>
      <c r="AJ6" s="101"/>
      <c r="AK6" s="102"/>
      <c r="AL6" s="102"/>
      <c r="AM6" s="102"/>
      <c r="AN6" s="102"/>
      <c r="AO6" s="102"/>
      <c r="AP6" s="102"/>
      <c r="AQ6" s="102"/>
      <c r="AR6" s="102"/>
    </row>
    <row r="7" spans="2:44" ht="7.5" customHeight="1">
      <c r="B7" s="64"/>
      <c r="C7" s="76"/>
      <c r="D7" s="865"/>
      <c r="E7" s="865"/>
      <c r="F7" s="865"/>
      <c r="G7" s="865"/>
      <c r="H7" s="865"/>
      <c r="I7" s="865"/>
      <c r="J7" s="865"/>
      <c r="K7" s="865"/>
      <c r="L7" s="865"/>
      <c r="M7" s="55"/>
      <c r="N7" s="55"/>
      <c r="O7" s="113"/>
      <c r="P7" s="55"/>
      <c r="Q7" s="55"/>
      <c r="R7" s="55"/>
      <c r="S7" s="55"/>
      <c r="T7" s="55"/>
      <c r="U7" s="55"/>
      <c r="V7" s="55"/>
      <c r="W7" s="55"/>
      <c r="X7" s="55"/>
      <c r="Y7" s="55"/>
      <c r="Z7" s="55"/>
      <c r="AA7" s="55"/>
      <c r="AB7" s="73"/>
      <c r="AC7" s="77"/>
      <c r="AE7" s="102"/>
      <c r="AF7" s="102"/>
      <c r="AG7" s="102"/>
      <c r="AH7" s="15"/>
      <c r="AI7" s="102"/>
      <c r="AJ7" s="15"/>
      <c r="AK7" s="102"/>
      <c r="AL7" s="102"/>
      <c r="AM7" s="102"/>
      <c r="AN7" s="102"/>
      <c r="AO7" s="102"/>
      <c r="AP7" s="102"/>
      <c r="AQ7" s="102"/>
      <c r="AR7" s="102"/>
    </row>
    <row r="8" spans="2:44" ht="7.5" customHeight="1">
      <c r="B8" s="64"/>
      <c r="C8" s="70"/>
      <c r="D8" s="518"/>
      <c r="E8" s="518"/>
      <c r="F8" s="518"/>
      <c r="G8" s="38"/>
      <c r="H8" s="518"/>
      <c r="I8" s="518"/>
      <c r="J8" s="518"/>
      <c r="K8" s="518"/>
      <c r="L8" s="518"/>
      <c r="M8" s="518"/>
      <c r="N8" s="71"/>
      <c r="O8" s="70"/>
      <c r="P8" s="71"/>
      <c r="Q8" s="71"/>
      <c r="R8" s="71"/>
      <c r="S8" s="71"/>
      <c r="T8" s="71"/>
      <c r="U8" s="71"/>
      <c r="V8" s="71"/>
      <c r="W8" s="71"/>
      <c r="X8" s="71"/>
      <c r="Y8" s="71"/>
      <c r="Z8" s="71"/>
      <c r="AA8" s="71"/>
      <c r="AB8" s="73"/>
      <c r="AC8" s="79"/>
      <c r="AE8" s="102"/>
      <c r="AF8" s="97"/>
      <c r="AG8" s="24"/>
      <c r="AH8" s="15"/>
      <c r="AI8" s="24"/>
      <c r="AJ8" s="15"/>
      <c r="AK8" s="97"/>
      <c r="AL8" s="97"/>
      <c r="AM8" s="97"/>
      <c r="AN8" s="97"/>
      <c r="AO8" s="97"/>
      <c r="AP8" s="102"/>
      <c r="AQ8" s="102"/>
      <c r="AR8" s="102"/>
    </row>
    <row r="9" spans="2:44" ht="13.5" customHeight="1">
      <c r="B9" s="64"/>
      <c r="C9" s="70"/>
      <c r="D9" s="417"/>
      <c r="E9" s="518"/>
      <c r="F9" s="518"/>
      <c r="G9" s="518"/>
      <c r="H9" s="518"/>
      <c r="I9" s="518"/>
      <c r="J9" s="518"/>
      <c r="K9" s="518"/>
      <c r="L9" s="518"/>
      <c r="M9" s="518"/>
      <c r="N9" s="71"/>
      <c r="O9" s="70"/>
      <c r="P9" s="71"/>
      <c r="Q9" s="71"/>
      <c r="R9" s="71"/>
      <c r="S9" s="71"/>
      <c r="T9" s="71"/>
      <c r="U9" s="71"/>
      <c r="V9" s="71"/>
      <c r="W9" s="71"/>
      <c r="X9" s="71"/>
      <c r="Y9" s="71"/>
      <c r="Z9" s="71"/>
      <c r="AA9" s="71"/>
      <c r="AB9" s="73"/>
      <c r="AC9" s="79"/>
      <c r="AE9" s="102"/>
      <c r="AF9" s="97"/>
      <c r="AG9" s="24"/>
      <c r="AH9" s="15"/>
      <c r="AI9" s="24"/>
      <c r="AJ9" s="15"/>
      <c r="AK9" s="97"/>
      <c r="AL9" s="97"/>
      <c r="AM9" s="97"/>
      <c r="AN9" s="97"/>
      <c r="AO9" s="97"/>
      <c r="AP9" s="102"/>
      <c r="AQ9" s="102"/>
      <c r="AR9" s="102"/>
    </row>
    <row r="10" spans="2:44" ht="9.75" customHeight="1" thickBot="1">
      <c r="B10" s="64"/>
      <c r="C10" s="70"/>
      <c r="D10" s="55"/>
      <c r="E10" s="55"/>
      <c r="F10" s="55"/>
      <c r="G10" s="55"/>
      <c r="H10" s="55"/>
      <c r="I10" s="55"/>
      <c r="J10" s="55"/>
      <c r="K10" s="55"/>
      <c r="L10" s="55"/>
      <c r="M10" s="55"/>
      <c r="N10" s="405"/>
      <c r="O10" s="113"/>
      <c r="P10" s="55"/>
      <c r="Q10" s="55"/>
      <c r="R10" s="55"/>
      <c r="S10" s="55"/>
      <c r="T10" s="55"/>
      <c r="U10" s="55"/>
      <c r="V10" s="55"/>
      <c r="W10" s="55"/>
      <c r="X10" s="55"/>
      <c r="Y10" s="55"/>
      <c r="Z10" s="55"/>
      <c r="AA10" s="55"/>
      <c r="AB10" s="81"/>
      <c r="AC10" s="79"/>
      <c r="AE10" s="102"/>
      <c r="AF10" s="102"/>
      <c r="AG10" s="102"/>
      <c r="AH10" s="102"/>
      <c r="AI10" s="102"/>
      <c r="AJ10" s="102"/>
      <c r="AK10" s="102"/>
      <c r="AL10" s="102"/>
      <c r="AM10" s="102"/>
      <c r="AN10" s="102"/>
      <c r="AO10" s="102"/>
      <c r="AP10" s="102"/>
      <c r="AQ10" s="102"/>
      <c r="AR10" s="102"/>
    </row>
    <row r="11" spans="2:44" ht="12.75" customHeight="1" thickBot="1">
      <c r="B11" s="64"/>
      <c r="C11" s="82"/>
      <c r="D11" s="103" t="s">
        <v>31</v>
      </c>
      <c r="E11" s="203" t="s">
        <v>215</v>
      </c>
      <c r="F11" s="203" t="s">
        <v>142</v>
      </c>
      <c r="G11" s="191" t="s">
        <v>41</v>
      </c>
      <c r="H11" s="191" t="s">
        <v>210</v>
      </c>
      <c r="I11" s="191" t="s">
        <v>278</v>
      </c>
      <c r="J11" s="191" t="s">
        <v>197</v>
      </c>
      <c r="K11" s="193" t="s">
        <v>196</v>
      </c>
      <c r="L11" s="203" t="s">
        <v>105</v>
      </c>
      <c r="M11" s="194" t="s">
        <v>438</v>
      </c>
      <c r="N11" s="36"/>
      <c r="O11" s="406"/>
      <c r="P11" s="405"/>
      <c r="Q11" s="405"/>
      <c r="R11" s="405"/>
      <c r="S11" s="405"/>
      <c r="T11" s="405"/>
      <c r="U11" s="405"/>
      <c r="V11" s="405"/>
      <c r="W11" s="405"/>
      <c r="X11" s="405"/>
      <c r="Y11" s="405"/>
      <c r="Z11" s="405"/>
      <c r="AA11" s="405"/>
      <c r="AB11" s="73"/>
      <c r="AC11" s="77"/>
      <c r="AE11" s="102"/>
      <c r="AF11" s="107"/>
      <c r="AG11" s="108"/>
      <c r="AH11" s="108"/>
      <c r="AI11" s="108"/>
      <c r="AJ11" s="108"/>
      <c r="AK11" s="108"/>
      <c r="AL11" s="108"/>
      <c r="AM11" s="108"/>
      <c r="AN11" s="108"/>
      <c r="AO11" s="108"/>
      <c r="AP11" s="102"/>
      <c r="AQ11" s="102"/>
      <c r="AR11" s="102"/>
    </row>
    <row r="12" spans="2:44" ht="12.75" customHeight="1">
      <c r="B12" s="64"/>
      <c r="C12" s="82"/>
      <c r="D12" s="195">
        <v>1</v>
      </c>
      <c r="E12" s="443" t="s">
        <v>256</v>
      </c>
      <c r="F12" s="204" t="s">
        <v>200</v>
      </c>
      <c r="G12" s="205">
        <v>18</v>
      </c>
      <c r="H12" s="206">
        <v>4238</v>
      </c>
      <c r="I12" s="206">
        <v>7862</v>
      </c>
      <c r="J12" s="197">
        <v>3444</v>
      </c>
      <c r="K12" s="206">
        <v>8556</v>
      </c>
      <c r="L12" s="206">
        <v>460</v>
      </c>
      <c r="M12" s="198" t="s">
        <v>2</v>
      </c>
      <c r="N12" s="36"/>
      <c r="O12" s="407"/>
      <c r="P12" s="36"/>
      <c r="Q12" s="36"/>
      <c r="R12" s="36"/>
      <c r="S12" s="36"/>
      <c r="T12" s="36"/>
      <c r="U12" s="36"/>
      <c r="V12" s="36"/>
      <c r="W12" s="36"/>
      <c r="X12" s="36"/>
      <c r="Y12" s="36"/>
      <c r="Z12" s="36"/>
      <c r="AA12" s="36"/>
      <c r="AB12" s="73"/>
      <c r="AC12" s="77"/>
      <c r="AE12" s="102"/>
      <c r="AF12" s="108"/>
      <c r="AG12" s="108"/>
      <c r="AH12" s="108"/>
      <c r="AI12" s="108"/>
      <c r="AJ12" s="108"/>
      <c r="AK12" s="108"/>
      <c r="AL12" s="108"/>
      <c r="AM12" s="108"/>
      <c r="AN12" s="108"/>
      <c r="AO12" s="108"/>
      <c r="AP12" s="102"/>
      <c r="AQ12" s="102"/>
      <c r="AR12" s="102"/>
    </row>
    <row r="13" spans="2:44" ht="12.75" customHeight="1">
      <c r="B13" s="64"/>
      <c r="C13" s="82"/>
      <c r="D13" s="199">
        <v>2</v>
      </c>
      <c r="E13" s="197" t="s">
        <v>256</v>
      </c>
      <c r="F13" s="204" t="s">
        <v>201</v>
      </c>
      <c r="G13" s="207">
        <v>18</v>
      </c>
      <c r="H13" s="104">
        <v>5318</v>
      </c>
      <c r="I13" s="104">
        <v>6682</v>
      </c>
      <c r="J13" s="201">
        <v>3830</v>
      </c>
      <c r="K13" s="104">
        <v>8170</v>
      </c>
      <c r="L13" s="104">
        <v>460</v>
      </c>
      <c r="M13" s="105" t="s">
        <v>2</v>
      </c>
      <c r="N13" s="36"/>
      <c r="O13" s="42"/>
      <c r="P13" s="41"/>
      <c r="Q13" s="41"/>
      <c r="R13" s="41"/>
      <c r="S13" s="41"/>
      <c r="T13" s="41"/>
      <c r="U13" s="41"/>
      <c r="V13" s="41"/>
      <c r="W13" s="41"/>
      <c r="X13" s="41"/>
      <c r="Y13" s="41"/>
      <c r="Z13" s="41"/>
      <c r="AA13" s="41"/>
      <c r="AB13" s="73"/>
      <c r="AC13" s="77"/>
      <c r="AE13" s="102"/>
      <c r="AF13" s="102"/>
      <c r="AG13" s="102"/>
      <c r="AH13" s="101"/>
      <c r="AI13" s="106"/>
      <c r="AJ13" s="101"/>
      <c r="AK13" s="102"/>
      <c r="AL13" s="102"/>
      <c r="AM13" s="102"/>
      <c r="AN13" s="102"/>
      <c r="AO13" s="102"/>
      <c r="AP13" s="102"/>
      <c r="AQ13" s="102"/>
      <c r="AR13" s="102"/>
    </row>
    <row r="14" spans="2:44" ht="12.75" customHeight="1">
      <c r="B14" s="64"/>
      <c r="C14" s="82"/>
      <c r="D14" s="195">
        <v>3</v>
      </c>
      <c r="E14" s="197" t="s">
        <v>256</v>
      </c>
      <c r="F14" s="204" t="s">
        <v>202</v>
      </c>
      <c r="G14" s="392">
        <v>21</v>
      </c>
      <c r="H14" s="393">
        <v>5290</v>
      </c>
      <c r="I14" s="393">
        <v>6710</v>
      </c>
      <c r="J14" s="394">
        <v>3770</v>
      </c>
      <c r="K14" s="393">
        <v>8230</v>
      </c>
      <c r="L14" s="393">
        <v>460</v>
      </c>
      <c r="M14" s="395" t="s">
        <v>2</v>
      </c>
      <c r="N14" s="36"/>
      <c r="O14" s="406"/>
      <c r="P14" s="405"/>
      <c r="Q14" s="405"/>
      <c r="R14" s="405"/>
      <c r="S14" s="405"/>
      <c r="T14" s="405"/>
      <c r="U14" s="405"/>
      <c r="V14" s="405"/>
      <c r="W14" s="405"/>
      <c r="X14" s="405"/>
      <c r="Y14" s="405"/>
      <c r="Z14" s="405"/>
      <c r="AA14" s="405"/>
      <c r="AB14" s="84"/>
      <c r="AC14" s="77"/>
      <c r="AE14" s="102"/>
      <c r="AF14" s="102"/>
      <c r="AG14" s="102"/>
      <c r="AH14" s="102"/>
      <c r="AI14" s="102"/>
      <c r="AJ14" s="102"/>
      <c r="AK14" s="102"/>
      <c r="AL14" s="102"/>
      <c r="AM14" s="102"/>
      <c r="AN14" s="102"/>
      <c r="AO14" s="102"/>
      <c r="AP14" s="102"/>
      <c r="AQ14" s="102"/>
      <c r="AR14" s="102"/>
    </row>
    <row r="15" spans="2:44" ht="12.75" customHeight="1">
      <c r="B15" s="64"/>
      <c r="C15" s="82"/>
      <c r="D15" s="199">
        <v>4</v>
      </c>
      <c r="E15" s="197" t="s">
        <v>256</v>
      </c>
      <c r="F15" s="204" t="s">
        <v>203</v>
      </c>
      <c r="G15" s="392">
        <v>24</v>
      </c>
      <c r="H15" s="393">
        <v>3077</v>
      </c>
      <c r="I15" s="393">
        <v>8923</v>
      </c>
      <c r="J15" s="394">
        <v>3844</v>
      </c>
      <c r="K15" s="393">
        <v>8156</v>
      </c>
      <c r="L15" s="393">
        <v>460</v>
      </c>
      <c r="M15" s="395" t="s">
        <v>2</v>
      </c>
      <c r="N15" s="36"/>
      <c r="O15" s="407"/>
      <c r="P15" s="36"/>
      <c r="Q15" s="36"/>
      <c r="R15" s="36"/>
      <c r="S15" s="36"/>
      <c r="T15" s="36"/>
      <c r="U15" s="36"/>
      <c r="V15" s="36"/>
      <c r="W15" s="36"/>
      <c r="X15" s="36"/>
      <c r="Y15" s="36"/>
      <c r="Z15" s="36"/>
      <c r="AA15" s="36"/>
      <c r="AB15" s="84"/>
      <c r="AC15" s="77"/>
      <c r="AE15" s="102"/>
      <c r="AF15" s="102"/>
      <c r="AG15" s="102"/>
      <c r="AH15" s="102"/>
      <c r="AI15" s="102"/>
      <c r="AJ15" s="102"/>
      <c r="AK15" s="102"/>
      <c r="AL15" s="102"/>
      <c r="AM15" s="102"/>
      <c r="AN15" s="102"/>
      <c r="AO15" s="102"/>
      <c r="AP15" s="102"/>
      <c r="AQ15" s="102"/>
      <c r="AR15" s="102"/>
    </row>
    <row r="16" spans="2:44" ht="12.75" customHeight="1">
      <c r="B16" s="64"/>
      <c r="C16" s="82"/>
      <c r="D16" s="195">
        <v>5</v>
      </c>
      <c r="E16" s="197" t="s">
        <v>256</v>
      </c>
      <c r="F16" s="204" t="s">
        <v>204</v>
      </c>
      <c r="G16" s="392">
        <v>24</v>
      </c>
      <c r="H16" s="393">
        <v>5474</v>
      </c>
      <c r="I16" s="393">
        <v>6526</v>
      </c>
      <c r="J16" s="394">
        <v>4342</v>
      </c>
      <c r="K16" s="393">
        <v>7658</v>
      </c>
      <c r="L16" s="393">
        <v>460</v>
      </c>
      <c r="M16" s="395" t="s">
        <v>2</v>
      </c>
      <c r="N16" s="36"/>
      <c r="O16" s="407"/>
      <c r="P16" s="36"/>
      <c r="Q16" s="36"/>
      <c r="R16" s="36"/>
      <c r="S16" s="36"/>
      <c r="T16" s="36"/>
      <c r="U16" s="36"/>
      <c r="V16" s="36"/>
      <c r="W16" s="36"/>
      <c r="X16" s="36"/>
      <c r="Y16" s="36"/>
      <c r="Z16" s="36"/>
      <c r="AA16" s="36"/>
      <c r="AB16" s="84"/>
      <c r="AC16" s="77"/>
      <c r="AE16" s="102"/>
      <c r="AF16" s="102"/>
      <c r="AG16" s="102"/>
      <c r="AH16" s="102"/>
      <c r="AI16" s="102"/>
      <c r="AJ16" s="102"/>
      <c r="AK16" s="102"/>
      <c r="AL16" s="102"/>
      <c r="AM16" s="102"/>
      <c r="AN16" s="102"/>
      <c r="AO16" s="102"/>
      <c r="AP16" s="102"/>
      <c r="AQ16" s="102"/>
      <c r="AR16" s="102"/>
    </row>
    <row r="17" spans="2:44" ht="12.75" customHeight="1">
      <c r="B17" s="64"/>
      <c r="C17" s="82"/>
      <c r="D17" s="199">
        <v>6</v>
      </c>
      <c r="E17" s="197" t="s">
        <v>256</v>
      </c>
      <c r="F17" s="204" t="s">
        <v>205</v>
      </c>
      <c r="G17" s="392">
        <v>27</v>
      </c>
      <c r="H17" s="393">
        <v>5455</v>
      </c>
      <c r="I17" s="393">
        <v>6545</v>
      </c>
      <c r="J17" s="394">
        <v>4297</v>
      </c>
      <c r="K17" s="393">
        <v>7703</v>
      </c>
      <c r="L17" s="393">
        <v>460</v>
      </c>
      <c r="M17" s="395" t="s">
        <v>2</v>
      </c>
      <c r="N17" s="36"/>
      <c r="O17" s="407"/>
      <c r="P17" s="36"/>
      <c r="Q17" s="36"/>
      <c r="R17" s="36"/>
      <c r="S17" s="36"/>
      <c r="T17" s="36"/>
      <c r="U17" s="36"/>
      <c r="V17" s="36"/>
      <c r="W17" s="36"/>
      <c r="X17" s="36"/>
      <c r="Y17" s="36"/>
      <c r="Z17" s="36"/>
      <c r="AA17" s="36"/>
      <c r="AB17" s="84"/>
      <c r="AC17" s="85"/>
      <c r="AE17" s="102"/>
      <c r="AF17" s="102"/>
      <c r="AG17" s="102"/>
      <c r="AH17" s="102"/>
      <c r="AI17" s="102"/>
      <c r="AJ17" s="24"/>
      <c r="AK17" s="102"/>
      <c r="AL17" s="102"/>
      <c r="AM17" s="102"/>
      <c r="AN17" s="102"/>
      <c r="AO17" s="102"/>
      <c r="AP17" s="102"/>
      <c r="AQ17" s="102"/>
      <c r="AR17" s="102"/>
    </row>
    <row r="18" spans="2:44" ht="12.75" customHeight="1" thickBot="1">
      <c r="B18" s="64"/>
      <c r="C18" s="82"/>
      <c r="D18" s="413">
        <v>7</v>
      </c>
      <c r="E18" s="416" t="s">
        <v>256</v>
      </c>
      <c r="F18" s="520" t="s">
        <v>206</v>
      </c>
      <c r="G18" s="414">
        <v>30</v>
      </c>
      <c r="H18" s="391">
        <v>4898</v>
      </c>
      <c r="I18" s="391">
        <v>7102</v>
      </c>
      <c r="J18" s="336">
        <v>4488</v>
      </c>
      <c r="K18" s="391">
        <v>7512</v>
      </c>
      <c r="L18" s="391">
        <v>460</v>
      </c>
      <c r="M18" s="348" t="s">
        <v>2</v>
      </c>
      <c r="N18" s="36"/>
      <c r="O18" s="407"/>
      <c r="P18" s="36"/>
      <c r="Q18" s="36"/>
      <c r="R18" s="36"/>
      <c r="S18" s="36"/>
      <c r="T18" s="36"/>
      <c r="U18" s="36"/>
      <c r="V18" s="36"/>
      <c r="W18" s="36"/>
      <c r="X18" s="36"/>
      <c r="Y18" s="36"/>
      <c r="Z18" s="36"/>
      <c r="AA18" s="36"/>
      <c r="AB18" s="84"/>
      <c r="AC18" s="85"/>
      <c r="AE18" s="102"/>
      <c r="AF18" s="102"/>
      <c r="AG18" s="102"/>
      <c r="AH18" s="102"/>
      <c r="AI18" s="102"/>
      <c r="AJ18" s="24"/>
      <c r="AK18" s="102"/>
      <c r="AL18" s="102"/>
      <c r="AM18" s="102"/>
      <c r="AN18" s="102"/>
      <c r="AO18" s="102"/>
      <c r="AP18" s="102"/>
      <c r="AQ18" s="102"/>
      <c r="AR18" s="102"/>
    </row>
    <row r="19" spans="2:44" ht="12.75" customHeight="1">
      <c r="B19" s="64"/>
      <c r="C19" s="82"/>
      <c r="D19" s="195">
        <v>8</v>
      </c>
      <c r="E19" s="443" t="s">
        <v>256</v>
      </c>
      <c r="F19" s="682" t="s">
        <v>311</v>
      </c>
      <c r="G19" s="410"/>
      <c r="H19" s="410"/>
      <c r="I19" s="410"/>
      <c r="J19" s="410"/>
      <c r="K19" s="410"/>
      <c r="L19" s="645"/>
      <c r="M19" s="411"/>
      <c r="N19" s="36"/>
      <c r="O19" s="407"/>
      <c r="P19" s="36"/>
      <c r="Q19" s="36"/>
      <c r="R19" s="36"/>
      <c r="S19" s="36"/>
      <c r="T19" s="36"/>
      <c r="U19" s="36"/>
      <c r="V19" s="36"/>
      <c r="W19" s="36"/>
      <c r="X19" s="36"/>
      <c r="Y19" s="36"/>
      <c r="Z19" s="36"/>
      <c r="AA19" s="36"/>
      <c r="AB19" s="84"/>
      <c r="AC19" s="77"/>
      <c r="AE19" s="102"/>
      <c r="AF19" s="102"/>
      <c r="AG19" s="102"/>
      <c r="AH19" s="102"/>
      <c r="AI19" s="102"/>
      <c r="AJ19" s="24"/>
      <c r="AK19" s="102"/>
      <c r="AL19" s="102"/>
      <c r="AM19" s="102"/>
      <c r="AN19" s="102"/>
      <c r="AO19" s="102"/>
      <c r="AP19" s="102"/>
      <c r="AQ19" s="102"/>
      <c r="AR19" s="102"/>
    </row>
    <row r="20" spans="2:44" ht="12.75" customHeight="1">
      <c r="B20" s="64"/>
      <c r="C20" s="82"/>
      <c r="D20" s="195">
        <v>9</v>
      </c>
      <c r="E20" s="197" t="s">
        <v>256</v>
      </c>
      <c r="F20" s="683" t="s">
        <v>311</v>
      </c>
      <c r="G20" s="396"/>
      <c r="H20" s="396"/>
      <c r="I20" s="396"/>
      <c r="J20" s="396"/>
      <c r="K20" s="396"/>
      <c r="L20" s="646"/>
      <c r="M20" s="397"/>
      <c r="N20" s="36"/>
      <c r="O20" s="407"/>
      <c r="P20" s="36"/>
      <c r="Q20" s="36"/>
      <c r="R20" s="36"/>
      <c r="S20" s="36"/>
      <c r="T20" s="36"/>
      <c r="U20" s="36"/>
      <c r="V20" s="36"/>
      <c r="W20" s="36"/>
      <c r="X20" s="36"/>
      <c r="Y20" s="36"/>
      <c r="Z20" s="36"/>
      <c r="AA20" s="36"/>
      <c r="AB20" s="84"/>
      <c r="AC20" s="77"/>
      <c r="AE20" s="102"/>
      <c r="AF20" s="102"/>
      <c r="AG20" s="102"/>
      <c r="AH20" s="102"/>
      <c r="AI20" s="102"/>
      <c r="AJ20" s="24"/>
      <c r="AK20" s="102"/>
      <c r="AL20" s="102"/>
      <c r="AM20" s="102"/>
      <c r="AN20" s="102"/>
      <c r="AO20" s="102"/>
      <c r="AP20" s="102"/>
      <c r="AQ20" s="102"/>
      <c r="AR20" s="102"/>
    </row>
    <row r="21" spans="2:44" ht="12.75" customHeight="1">
      <c r="B21" s="64"/>
      <c r="C21" s="82"/>
      <c r="D21" s="199">
        <v>10</v>
      </c>
      <c r="E21" s="197" t="s">
        <v>256</v>
      </c>
      <c r="F21" s="683" t="s">
        <v>311</v>
      </c>
      <c r="G21" s="396"/>
      <c r="H21" s="396"/>
      <c r="I21" s="396"/>
      <c r="J21" s="396"/>
      <c r="K21" s="396"/>
      <c r="L21" s="646"/>
      <c r="M21" s="397"/>
      <c r="N21" s="36"/>
      <c r="O21" s="407"/>
      <c r="P21" s="36"/>
      <c r="Q21" s="36"/>
      <c r="R21" s="36"/>
      <c r="S21" s="36"/>
      <c r="T21" s="36"/>
      <c r="U21" s="36"/>
      <c r="V21" s="36"/>
      <c r="W21" s="36"/>
      <c r="X21" s="36"/>
      <c r="Y21" s="36"/>
      <c r="Z21" s="36"/>
      <c r="AA21" s="36"/>
      <c r="AB21" s="84"/>
      <c r="AC21" s="77"/>
      <c r="AE21" s="102"/>
      <c r="AF21" s="102"/>
      <c r="AG21" s="102"/>
      <c r="AH21" s="102"/>
      <c r="AI21" s="102"/>
      <c r="AJ21" s="102"/>
      <c r="AK21" s="102"/>
      <c r="AL21" s="102"/>
      <c r="AM21" s="102"/>
      <c r="AN21" s="102"/>
      <c r="AO21" s="102"/>
      <c r="AP21" s="102"/>
      <c r="AQ21" s="102"/>
      <c r="AR21" s="102"/>
    </row>
    <row r="22" spans="2:44" ht="12.75" customHeight="1">
      <c r="B22" s="64"/>
      <c r="C22" s="82"/>
      <c r="D22" s="195">
        <v>11</v>
      </c>
      <c r="E22" s="197" t="s">
        <v>256</v>
      </c>
      <c r="F22" s="683" t="s">
        <v>311</v>
      </c>
      <c r="G22" s="396"/>
      <c r="H22" s="396"/>
      <c r="I22" s="396"/>
      <c r="J22" s="396"/>
      <c r="K22" s="396"/>
      <c r="L22" s="646"/>
      <c r="M22" s="397"/>
      <c r="N22" s="36"/>
      <c r="O22" s="407"/>
      <c r="P22" s="36"/>
      <c r="Q22" s="36"/>
      <c r="R22" s="36"/>
      <c r="S22" s="36"/>
      <c r="T22" s="36"/>
      <c r="U22" s="36"/>
      <c r="V22" s="36"/>
      <c r="W22" s="36"/>
      <c r="X22" s="36"/>
      <c r="Y22" s="36"/>
      <c r="Z22" s="36"/>
      <c r="AA22" s="36"/>
      <c r="AB22" s="84"/>
      <c r="AC22" s="77"/>
      <c r="AE22" s="102"/>
      <c r="AF22" s="102"/>
      <c r="AG22" s="102"/>
      <c r="AH22" s="102"/>
      <c r="AI22" s="102"/>
      <c r="AJ22" s="24"/>
      <c r="AK22" s="102"/>
      <c r="AL22" s="102"/>
      <c r="AM22" s="102"/>
      <c r="AN22" s="102"/>
      <c r="AO22" s="102"/>
      <c r="AP22" s="102"/>
      <c r="AQ22" s="102"/>
      <c r="AR22" s="102"/>
    </row>
    <row r="23" spans="2:44" ht="12.75" customHeight="1" thickBot="1">
      <c r="B23" s="64"/>
      <c r="C23" s="82"/>
      <c r="D23" s="202">
        <v>12</v>
      </c>
      <c r="E23" s="416" t="s">
        <v>256</v>
      </c>
      <c r="F23" s="684" t="s">
        <v>311</v>
      </c>
      <c r="G23" s="398"/>
      <c r="H23" s="398"/>
      <c r="I23" s="398"/>
      <c r="J23" s="398"/>
      <c r="K23" s="398"/>
      <c r="L23" s="647"/>
      <c r="M23" s="399"/>
      <c r="N23" s="36"/>
      <c r="O23" s="407"/>
      <c r="P23" s="36"/>
      <c r="Q23" s="36"/>
      <c r="R23" s="36"/>
      <c r="S23" s="36"/>
      <c r="T23" s="36"/>
      <c r="U23" s="36"/>
      <c r="V23" s="36"/>
      <c r="W23" s="36"/>
      <c r="X23" s="36"/>
      <c r="Y23" s="36"/>
      <c r="Z23" s="36"/>
      <c r="AA23" s="36"/>
      <c r="AB23" s="84"/>
      <c r="AC23" s="77"/>
      <c r="AE23" s="102"/>
      <c r="AF23" s="102"/>
      <c r="AG23" s="102"/>
      <c r="AH23" s="102"/>
      <c r="AI23" s="102"/>
      <c r="AJ23" s="24"/>
      <c r="AK23" s="102"/>
      <c r="AL23" s="102"/>
      <c r="AM23" s="102"/>
      <c r="AN23" s="102"/>
      <c r="AO23" s="102"/>
      <c r="AP23" s="102"/>
      <c r="AQ23" s="102"/>
      <c r="AR23" s="102"/>
    </row>
    <row r="24" spans="2:44" ht="12.75" customHeight="1">
      <c r="B24" s="64"/>
      <c r="C24" s="82"/>
      <c r="D24" s="195">
        <v>13</v>
      </c>
      <c r="E24" s="206" t="s">
        <v>255</v>
      </c>
      <c r="F24" s="204" t="s">
        <v>208</v>
      </c>
      <c r="G24" s="205">
        <v>22</v>
      </c>
      <c r="H24" s="206">
        <v>2100</v>
      </c>
      <c r="I24" s="206">
        <v>2100</v>
      </c>
      <c r="J24" s="197">
        <v>3500</v>
      </c>
      <c r="K24" s="206">
        <v>3500</v>
      </c>
      <c r="L24" s="206">
        <v>650</v>
      </c>
      <c r="M24" s="648"/>
      <c r="N24" s="36"/>
      <c r="O24" s="407"/>
      <c r="P24" s="36"/>
      <c r="Q24" s="36"/>
      <c r="R24" s="36"/>
      <c r="S24" s="36"/>
      <c r="T24" s="36"/>
      <c r="U24" s="36"/>
      <c r="V24" s="36"/>
      <c r="W24" s="36"/>
      <c r="X24" s="36"/>
      <c r="Y24" s="36"/>
      <c r="Z24" s="36"/>
      <c r="AA24" s="36"/>
      <c r="AB24" s="84"/>
      <c r="AC24" s="77"/>
      <c r="AE24" s="102"/>
      <c r="AF24" s="102"/>
      <c r="AG24" s="102"/>
      <c r="AH24" s="102"/>
      <c r="AI24" s="102"/>
      <c r="AJ24" s="24"/>
      <c r="AK24" s="102"/>
      <c r="AL24" s="102"/>
      <c r="AM24" s="102"/>
      <c r="AN24" s="102"/>
      <c r="AO24" s="102"/>
      <c r="AP24" s="102"/>
      <c r="AQ24" s="102"/>
      <c r="AR24" s="102"/>
    </row>
    <row r="25" spans="2:44" ht="12.75" customHeight="1" thickBot="1">
      <c r="B25" s="64"/>
      <c r="C25" s="82"/>
      <c r="D25" s="202">
        <v>14</v>
      </c>
      <c r="E25" s="336" t="s">
        <v>255</v>
      </c>
      <c r="F25" s="520" t="s">
        <v>209</v>
      </c>
      <c r="G25" s="415">
        <v>30</v>
      </c>
      <c r="H25" s="412">
        <v>1900</v>
      </c>
      <c r="I25" s="412">
        <v>1900</v>
      </c>
      <c r="J25" s="416">
        <v>3300</v>
      </c>
      <c r="K25" s="412">
        <v>3300</v>
      </c>
      <c r="L25" s="412">
        <v>650</v>
      </c>
      <c r="M25" s="648"/>
      <c r="N25" s="36"/>
      <c r="O25" s="407"/>
      <c r="P25" s="36"/>
      <c r="Q25" s="36"/>
      <c r="R25" s="36"/>
      <c r="S25" s="36"/>
      <c r="T25" s="36"/>
      <c r="U25" s="36"/>
      <c r="V25" s="36"/>
      <c r="W25" s="36"/>
      <c r="X25" s="36"/>
      <c r="Y25" s="36"/>
      <c r="Z25" s="36"/>
      <c r="AA25" s="36"/>
      <c r="AB25" s="84"/>
      <c r="AC25" s="77"/>
      <c r="AE25" s="102"/>
      <c r="AF25" s="102"/>
      <c r="AG25" s="102"/>
      <c r="AH25" s="102"/>
      <c r="AI25" s="102"/>
      <c r="AJ25" s="24"/>
      <c r="AK25" s="102"/>
      <c r="AL25" s="102"/>
      <c r="AM25" s="102"/>
      <c r="AN25" s="102"/>
      <c r="AO25" s="102"/>
      <c r="AP25" s="102"/>
      <c r="AQ25" s="102"/>
      <c r="AR25" s="102"/>
    </row>
    <row r="26" spans="2:44" ht="12.75" customHeight="1">
      <c r="B26" s="64"/>
      <c r="C26" s="82"/>
      <c r="D26" s="195">
        <v>15</v>
      </c>
      <c r="E26" s="197" t="s">
        <v>255</v>
      </c>
      <c r="F26" s="682" t="s">
        <v>311</v>
      </c>
      <c r="G26" s="410"/>
      <c r="H26" s="410"/>
      <c r="I26" s="410"/>
      <c r="J26" s="410"/>
      <c r="K26" s="410"/>
      <c r="L26" s="645"/>
      <c r="M26" s="648"/>
      <c r="N26" s="36"/>
      <c r="O26" s="407"/>
      <c r="P26" s="36"/>
      <c r="Q26" s="36"/>
      <c r="R26" s="36"/>
      <c r="S26" s="36"/>
      <c r="T26" s="36"/>
      <c r="U26" s="36"/>
      <c r="V26" s="36"/>
      <c r="W26" s="36"/>
      <c r="X26" s="36"/>
      <c r="Y26" s="36"/>
      <c r="Z26" s="36"/>
      <c r="AA26" s="36"/>
      <c r="AB26" s="84"/>
      <c r="AC26" s="77"/>
      <c r="AE26" s="102"/>
      <c r="AF26" s="97"/>
      <c r="AG26" s="102"/>
      <c r="AH26" s="102"/>
      <c r="AI26" s="102"/>
      <c r="AJ26" s="102"/>
      <c r="AK26" s="102"/>
      <c r="AL26" s="102"/>
      <c r="AM26" s="102"/>
      <c r="AN26" s="102"/>
      <c r="AO26" s="24"/>
      <c r="AP26" s="102"/>
      <c r="AQ26" s="102"/>
      <c r="AR26" s="102"/>
    </row>
    <row r="27" spans="2:44" ht="12.75" customHeight="1">
      <c r="B27" s="64"/>
      <c r="C27" s="82"/>
      <c r="D27" s="199">
        <v>16</v>
      </c>
      <c r="E27" s="197" t="s">
        <v>255</v>
      </c>
      <c r="F27" s="683" t="s">
        <v>311</v>
      </c>
      <c r="G27" s="396"/>
      <c r="H27" s="396"/>
      <c r="I27" s="396"/>
      <c r="J27" s="396"/>
      <c r="K27" s="396"/>
      <c r="L27" s="646"/>
      <c r="M27" s="648"/>
      <c r="N27" s="36"/>
      <c r="O27" s="407"/>
      <c r="P27" s="36"/>
      <c r="Q27" s="36"/>
      <c r="R27" s="36"/>
      <c r="S27" s="36"/>
      <c r="T27" s="36"/>
      <c r="U27" s="36"/>
      <c r="V27" s="36"/>
      <c r="W27" s="36"/>
      <c r="X27" s="36"/>
      <c r="Y27" s="36"/>
      <c r="Z27" s="36"/>
      <c r="AA27" s="36"/>
      <c r="AB27" s="84"/>
      <c r="AC27" s="77"/>
      <c r="AE27" s="102"/>
      <c r="AF27" s="102"/>
      <c r="AG27" s="102"/>
      <c r="AH27" s="102"/>
      <c r="AI27" s="102"/>
      <c r="AJ27" s="102"/>
      <c r="AK27" s="102"/>
      <c r="AL27" s="102"/>
      <c r="AM27" s="102"/>
      <c r="AN27" s="102"/>
      <c r="AO27" s="24"/>
      <c r="AP27" s="102"/>
      <c r="AQ27" s="102"/>
      <c r="AR27" s="102"/>
    </row>
    <row r="28" spans="2:44" ht="12.75" customHeight="1">
      <c r="B28" s="64"/>
      <c r="C28" s="82"/>
      <c r="D28" s="195">
        <v>17</v>
      </c>
      <c r="E28" s="197" t="s">
        <v>255</v>
      </c>
      <c r="F28" s="683" t="s">
        <v>311</v>
      </c>
      <c r="G28" s="396"/>
      <c r="H28" s="396"/>
      <c r="I28" s="396"/>
      <c r="J28" s="396"/>
      <c r="K28" s="396"/>
      <c r="L28" s="646"/>
      <c r="M28" s="648"/>
      <c r="N28" s="36"/>
      <c r="O28" s="407"/>
      <c r="P28" s="36"/>
      <c r="Q28" s="36"/>
      <c r="R28" s="36"/>
      <c r="S28" s="36"/>
      <c r="T28" s="36"/>
      <c r="U28" s="36"/>
      <c r="V28" s="36"/>
      <c r="W28" s="36"/>
      <c r="X28" s="36"/>
      <c r="Y28" s="36"/>
      <c r="Z28" s="36"/>
      <c r="AA28" s="36"/>
      <c r="AB28" s="84"/>
      <c r="AC28" s="77"/>
      <c r="AE28" s="102"/>
      <c r="AF28" s="102"/>
      <c r="AG28" s="102"/>
      <c r="AH28" s="102"/>
      <c r="AI28" s="102"/>
      <c r="AJ28" s="102"/>
      <c r="AK28" s="97"/>
      <c r="AL28" s="97"/>
      <c r="AM28" s="97"/>
      <c r="AN28" s="97"/>
      <c r="AO28" s="24"/>
      <c r="AP28" s="102"/>
      <c r="AQ28" s="102"/>
      <c r="AR28" s="102"/>
    </row>
    <row r="29" spans="2:44" ht="12.75" customHeight="1">
      <c r="B29" s="64"/>
      <c r="C29" s="82"/>
      <c r="D29" s="199">
        <v>18</v>
      </c>
      <c r="E29" s="197" t="s">
        <v>255</v>
      </c>
      <c r="F29" s="683" t="s">
        <v>311</v>
      </c>
      <c r="G29" s="396"/>
      <c r="H29" s="396"/>
      <c r="I29" s="396"/>
      <c r="J29" s="396"/>
      <c r="K29" s="396"/>
      <c r="L29" s="646"/>
      <c r="M29" s="648"/>
      <c r="N29" s="36"/>
      <c r="O29" s="407"/>
      <c r="P29" s="36"/>
      <c r="Q29" s="36"/>
      <c r="R29" s="36"/>
      <c r="S29" s="36"/>
      <c r="T29" s="36"/>
      <c r="U29" s="36"/>
      <c r="V29" s="36"/>
      <c r="W29" s="36"/>
      <c r="X29" s="36"/>
      <c r="Y29" s="36"/>
      <c r="Z29" s="36"/>
      <c r="AA29" s="36"/>
      <c r="AB29" s="84"/>
      <c r="AC29" s="77"/>
      <c r="AE29" s="102"/>
      <c r="AF29" s="102"/>
      <c r="AG29" s="102"/>
      <c r="AH29" s="102"/>
      <c r="AI29" s="102"/>
      <c r="AJ29" s="102"/>
      <c r="AK29" s="97"/>
      <c r="AL29" s="97"/>
      <c r="AM29" s="97"/>
      <c r="AN29" s="97"/>
      <c r="AO29" s="24"/>
      <c r="AP29" s="102"/>
      <c r="AQ29" s="102"/>
      <c r="AR29" s="102"/>
    </row>
    <row r="30" spans="2:44" ht="12.75" customHeight="1" thickBot="1">
      <c r="B30" s="64"/>
      <c r="C30" s="82"/>
      <c r="D30" s="413">
        <v>19</v>
      </c>
      <c r="E30" s="336" t="s">
        <v>255</v>
      </c>
      <c r="F30" s="684" t="s">
        <v>311</v>
      </c>
      <c r="G30" s="398"/>
      <c r="H30" s="398"/>
      <c r="I30" s="398"/>
      <c r="J30" s="398"/>
      <c r="K30" s="398"/>
      <c r="L30" s="647"/>
      <c r="M30" s="648"/>
      <c r="N30" s="36"/>
      <c r="O30" s="407"/>
      <c r="P30" s="36"/>
      <c r="Q30" s="36"/>
      <c r="R30" s="36"/>
      <c r="S30" s="36"/>
      <c r="T30" s="36"/>
      <c r="U30" s="36"/>
      <c r="V30" s="36"/>
      <c r="W30" s="36"/>
      <c r="X30" s="36"/>
      <c r="Y30" s="36"/>
      <c r="Z30" s="36"/>
      <c r="AA30" s="36"/>
      <c r="AB30" s="84"/>
      <c r="AC30" s="77"/>
      <c r="AE30" s="102"/>
      <c r="AF30" s="102"/>
      <c r="AG30" s="102"/>
      <c r="AH30" s="102"/>
      <c r="AI30" s="102"/>
      <c r="AJ30" s="102"/>
      <c r="AK30" s="97"/>
      <c r="AL30" s="97"/>
      <c r="AM30" s="97"/>
      <c r="AN30" s="97"/>
      <c r="AO30" s="24"/>
      <c r="AP30" s="102"/>
      <c r="AQ30" s="102"/>
      <c r="AR30" s="102"/>
    </row>
    <row r="31" spans="2:44" ht="12.75" customHeight="1">
      <c r="B31" s="64"/>
      <c r="C31" s="82"/>
      <c r="D31" s="195">
        <v>20</v>
      </c>
      <c r="E31" s="206" t="s">
        <v>207</v>
      </c>
      <c r="F31" s="204" t="s">
        <v>312</v>
      </c>
      <c r="G31" s="205">
        <v>18</v>
      </c>
      <c r="H31" s="206">
        <v>3200</v>
      </c>
      <c r="I31" s="206">
        <v>4300</v>
      </c>
      <c r="J31" s="197">
        <v>2680</v>
      </c>
      <c r="K31" s="206">
        <v>6780</v>
      </c>
      <c r="L31" s="206">
        <v>650</v>
      </c>
      <c r="M31" s="648"/>
      <c r="N31" s="36"/>
      <c r="O31" s="407"/>
      <c r="P31" s="36"/>
      <c r="Q31" s="36"/>
      <c r="R31" s="36"/>
      <c r="S31" s="36"/>
      <c r="T31" s="36"/>
      <c r="U31" s="36"/>
      <c r="V31" s="36"/>
      <c r="W31" s="36"/>
      <c r="X31" s="36"/>
      <c r="Y31" s="36"/>
      <c r="Z31" s="36"/>
      <c r="AA31" s="36"/>
      <c r="AB31" s="81"/>
      <c r="AC31" s="77"/>
      <c r="AE31" s="102"/>
      <c r="AF31" s="97"/>
      <c r="AG31" s="109"/>
      <c r="AH31" s="102"/>
      <c r="AI31" s="102"/>
      <c r="AJ31" s="102"/>
      <c r="AK31" s="97"/>
      <c r="AL31" s="97"/>
      <c r="AM31" s="97"/>
      <c r="AN31" s="97"/>
      <c r="AO31" s="24"/>
      <c r="AP31" s="102"/>
      <c r="AQ31" s="102"/>
      <c r="AR31" s="102"/>
    </row>
    <row r="32" spans="2:44" ht="12.75" customHeight="1">
      <c r="B32" s="64"/>
      <c r="C32" s="82"/>
      <c r="D32" s="195">
        <v>21</v>
      </c>
      <c r="E32" s="104" t="s">
        <v>207</v>
      </c>
      <c r="F32" s="204" t="s">
        <v>313</v>
      </c>
      <c r="G32" s="205">
        <v>20</v>
      </c>
      <c r="H32" s="206">
        <v>3200</v>
      </c>
      <c r="I32" s="206">
        <v>4300</v>
      </c>
      <c r="J32" s="197">
        <v>2680</v>
      </c>
      <c r="K32" s="206">
        <v>6780</v>
      </c>
      <c r="L32" s="206">
        <v>650</v>
      </c>
      <c r="M32" s="648"/>
      <c r="N32" s="36"/>
      <c r="O32" s="407"/>
      <c r="P32" s="36"/>
      <c r="Q32" s="36"/>
      <c r="R32" s="36"/>
      <c r="S32" s="36"/>
      <c r="T32" s="36"/>
      <c r="U32" s="36"/>
      <c r="V32" s="36"/>
      <c r="W32" s="36"/>
      <c r="X32" s="36"/>
      <c r="Y32" s="36"/>
      <c r="Z32" s="36"/>
      <c r="AA32" s="36"/>
      <c r="AB32" s="81"/>
      <c r="AC32" s="77"/>
      <c r="AE32" s="102"/>
      <c r="AF32" s="97"/>
      <c r="AG32" s="109"/>
      <c r="AH32" s="102"/>
      <c r="AI32" s="102"/>
      <c r="AJ32" s="102"/>
      <c r="AK32" s="97"/>
      <c r="AL32" s="97"/>
      <c r="AM32" s="97"/>
      <c r="AN32" s="97"/>
      <c r="AO32" s="24"/>
      <c r="AP32" s="102"/>
      <c r="AQ32" s="102"/>
      <c r="AR32" s="102"/>
    </row>
    <row r="33" spans="2:44" ht="12.75" customHeight="1">
      <c r="B33" s="64"/>
      <c r="C33" s="82"/>
      <c r="D33" s="199">
        <v>22</v>
      </c>
      <c r="E33" s="104" t="s">
        <v>207</v>
      </c>
      <c r="F33" s="204" t="s">
        <v>314</v>
      </c>
      <c r="G33" s="205">
        <v>22</v>
      </c>
      <c r="H33" s="206">
        <v>3200</v>
      </c>
      <c r="I33" s="206">
        <v>4300</v>
      </c>
      <c r="J33" s="197">
        <v>2680</v>
      </c>
      <c r="K33" s="206">
        <v>6780</v>
      </c>
      <c r="L33" s="206">
        <v>650</v>
      </c>
      <c r="M33" s="648"/>
      <c r="N33" s="36"/>
      <c r="O33" s="407"/>
      <c r="P33" s="36"/>
      <c r="Q33" s="36"/>
      <c r="R33" s="36"/>
      <c r="S33" s="36"/>
      <c r="T33" s="36"/>
      <c r="U33" s="36"/>
      <c r="V33" s="36"/>
      <c r="W33" s="36"/>
      <c r="X33" s="36"/>
      <c r="Y33" s="36"/>
      <c r="Z33" s="36"/>
      <c r="AA33" s="36"/>
      <c r="AB33" s="84"/>
      <c r="AC33" s="77"/>
      <c r="AE33" s="102"/>
      <c r="AF33" s="102"/>
      <c r="AG33" s="102"/>
      <c r="AH33" s="102"/>
      <c r="AI33" s="102"/>
      <c r="AJ33" s="102"/>
      <c r="AK33" s="97"/>
      <c r="AL33" s="97"/>
      <c r="AM33" s="97"/>
      <c r="AN33" s="97"/>
      <c r="AO33" s="24"/>
      <c r="AP33" s="102"/>
      <c r="AQ33" s="102"/>
      <c r="AR33" s="102"/>
    </row>
    <row r="34" spans="2:41" ht="12.75" customHeight="1">
      <c r="B34" s="64"/>
      <c r="C34" s="82"/>
      <c r="D34" s="195">
        <v>23</v>
      </c>
      <c r="E34" s="104" t="s">
        <v>207</v>
      </c>
      <c r="F34" s="204" t="s">
        <v>427</v>
      </c>
      <c r="G34" s="205">
        <v>25</v>
      </c>
      <c r="H34" s="206">
        <v>3200</v>
      </c>
      <c r="I34" s="206">
        <v>4300</v>
      </c>
      <c r="J34" s="197">
        <v>2680</v>
      </c>
      <c r="K34" s="206">
        <v>6780</v>
      </c>
      <c r="L34" s="206">
        <v>650</v>
      </c>
      <c r="M34" s="648"/>
      <c r="N34" s="36"/>
      <c r="O34" s="407"/>
      <c r="P34" s="36"/>
      <c r="Q34" s="36"/>
      <c r="R34" s="36"/>
      <c r="S34" s="36"/>
      <c r="T34" s="36"/>
      <c r="U34" s="36"/>
      <c r="V34" s="36"/>
      <c r="W34" s="36"/>
      <c r="X34" s="36"/>
      <c r="Y34" s="36"/>
      <c r="Z34" s="36"/>
      <c r="AA34" s="36"/>
      <c r="AB34" s="84"/>
      <c r="AC34" s="77"/>
      <c r="AF34" s="102"/>
      <c r="AG34" s="102"/>
      <c r="AH34" s="102"/>
      <c r="AI34" s="102"/>
      <c r="AJ34" s="102"/>
      <c r="AK34" s="97"/>
      <c r="AL34" s="97"/>
      <c r="AM34" s="97"/>
      <c r="AN34" s="97"/>
      <c r="AO34" s="24"/>
    </row>
    <row r="35" spans="2:41" ht="12.75" customHeight="1">
      <c r="B35" s="64"/>
      <c r="C35" s="82"/>
      <c r="D35" s="199">
        <v>24</v>
      </c>
      <c r="E35" s="104" t="s">
        <v>207</v>
      </c>
      <c r="F35" s="521" t="s">
        <v>211</v>
      </c>
      <c r="G35" s="205">
        <v>18</v>
      </c>
      <c r="H35" s="206">
        <v>4300</v>
      </c>
      <c r="I35" s="206">
        <v>3200</v>
      </c>
      <c r="J35" s="197">
        <v>6780</v>
      </c>
      <c r="K35" s="206">
        <v>2680</v>
      </c>
      <c r="L35" s="206">
        <v>650</v>
      </c>
      <c r="M35" s="648"/>
      <c r="N35" s="36"/>
      <c r="O35" s="407"/>
      <c r="P35" s="36"/>
      <c r="Q35" s="36"/>
      <c r="R35" s="36"/>
      <c r="S35" s="36"/>
      <c r="T35" s="36"/>
      <c r="U35" s="36"/>
      <c r="V35" s="36"/>
      <c r="W35" s="36"/>
      <c r="X35" s="36"/>
      <c r="Y35" s="36"/>
      <c r="Z35" s="36"/>
      <c r="AA35" s="36"/>
      <c r="AB35" s="84"/>
      <c r="AC35" s="77"/>
      <c r="AF35" s="102"/>
      <c r="AG35" s="102"/>
      <c r="AH35" s="102"/>
      <c r="AI35" s="102"/>
      <c r="AJ35" s="102"/>
      <c r="AK35" s="97"/>
      <c r="AL35" s="97"/>
      <c r="AM35" s="97"/>
      <c r="AN35" s="97"/>
      <c r="AO35" s="24"/>
    </row>
    <row r="36" spans="2:29" ht="12.75" customHeight="1">
      <c r="B36" s="64"/>
      <c r="C36" s="82"/>
      <c r="D36" s="195">
        <v>25</v>
      </c>
      <c r="E36" s="104" t="s">
        <v>207</v>
      </c>
      <c r="F36" s="522" t="s">
        <v>212</v>
      </c>
      <c r="G36" s="205">
        <v>20</v>
      </c>
      <c r="H36" s="206">
        <v>4300</v>
      </c>
      <c r="I36" s="206">
        <v>3200</v>
      </c>
      <c r="J36" s="197">
        <v>6780</v>
      </c>
      <c r="K36" s="206">
        <v>2680</v>
      </c>
      <c r="L36" s="206">
        <v>650</v>
      </c>
      <c r="M36" s="648"/>
      <c r="N36" s="36"/>
      <c r="O36" s="407"/>
      <c r="P36" s="36"/>
      <c r="Q36" s="36"/>
      <c r="R36" s="36"/>
      <c r="S36" s="36"/>
      <c r="T36" s="36"/>
      <c r="U36" s="36"/>
      <c r="V36" s="36"/>
      <c r="W36" s="36"/>
      <c r="X36" s="36"/>
      <c r="Y36" s="36"/>
      <c r="Z36" s="36"/>
      <c r="AA36" s="36"/>
      <c r="AB36" s="84"/>
      <c r="AC36" s="77"/>
    </row>
    <row r="37" spans="2:29" ht="12.75" customHeight="1">
      <c r="B37" s="64"/>
      <c r="C37" s="82"/>
      <c r="D37" s="199">
        <v>26</v>
      </c>
      <c r="E37" s="104" t="s">
        <v>207</v>
      </c>
      <c r="F37" s="522" t="s">
        <v>214</v>
      </c>
      <c r="G37" s="205">
        <v>22</v>
      </c>
      <c r="H37" s="206">
        <v>4300</v>
      </c>
      <c r="I37" s="206">
        <v>3200</v>
      </c>
      <c r="J37" s="197">
        <v>6780</v>
      </c>
      <c r="K37" s="206">
        <v>2680</v>
      </c>
      <c r="L37" s="206">
        <v>650</v>
      </c>
      <c r="M37" s="648"/>
      <c r="N37" s="36"/>
      <c r="O37" s="407"/>
      <c r="P37" s="36"/>
      <c r="Q37" s="36"/>
      <c r="R37" s="36"/>
      <c r="S37" s="36"/>
      <c r="T37" s="36"/>
      <c r="U37" s="36"/>
      <c r="V37" s="36"/>
      <c r="W37" s="36"/>
      <c r="X37" s="36"/>
      <c r="Y37" s="36"/>
      <c r="Z37" s="36"/>
      <c r="AA37" s="36"/>
      <c r="AB37" s="84"/>
      <c r="AC37" s="86"/>
    </row>
    <row r="38" spans="2:29" ht="12.75" customHeight="1" thickBot="1">
      <c r="B38" s="64"/>
      <c r="C38" s="82"/>
      <c r="D38" s="202">
        <v>27</v>
      </c>
      <c r="E38" s="391" t="s">
        <v>207</v>
      </c>
      <c r="F38" s="523" t="s">
        <v>213</v>
      </c>
      <c r="G38" s="414">
        <v>25</v>
      </c>
      <c r="H38" s="391">
        <v>4300</v>
      </c>
      <c r="I38" s="391">
        <v>3200</v>
      </c>
      <c r="J38" s="336">
        <v>6780</v>
      </c>
      <c r="K38" s="391">
        <v>2680</v>
      </c>
      <c r="L38" s="391">
        <v>650</v>
      </c>
      <c r="M38" s="648"/>
      <c r="N38" s="36"/>
      <c r="O38" s="407"/>
      <c r="P38" s="36"/>
      <c r="Q38" s="36"/>
      <c r="R38" s="36"/>
      <c r="S38" s="36"/>
      <c r="T38" s="36"/>
      <c r="U38" s="36"/>
      <c r="V38" s="36"/>
      <c r="W38" s="36"/>
      <c r="X38" s="36"/>
      <c r="Y38" s="36"/>
      <c r="Z38" s="36"/>
      <c r="AA38" s="36"/>
      <c r="AB38" s="84"/>
      <c r="AC38" s="86"/>
    </row>
    <row r="39" spans="2:29" ht="12.75" customHeight="1">
      <c r="B39" s="64"/>
      <c r="C39" s="82"/>
      <c r="D39" s="195">
        <v>28</v>
      </c>
      <c r="E39" s="206" t="s">
        <v>207</v>
      </c>
      <c r="F39" s="682" t="s">
        <v>311</v>
      </c>
      <c r="G39" s="410"/>
      <c r="H39" s="410"/>
      <c r="I39" s="410"/>
      <c r="J39" s="410"/>
      <c r="K39" s="410"/>
      <c r="L39" s="645"/>
      <c r="M39" s="648"/>
      <c r="N39" s="41"/>
      <c r="O39" s="407"/>
      <c r="P39" s="36"/>
      <c r="Q39" s="36"/>
      <c r="R39" s="36"/>
      <c r="S39" s="36"/>
      <c r="T39" s="36"/>
      <c r="U39" s="36"/>
      <c r="V39" s="36"/>
      <c r="W39" s="36"/>
      <c r="X39" s="36"/>
      <c r="Y39" s="36"/>
      <c r="Z39" s="36"/>
      <c r="AA39" s="36"/>
      <c r="AB39" s="84"/>
      <c r="AC39" s="77"/>
    </row>
    <row r="40" spans="2:29" ht="12.75" customHeight="1">
      <c r="B40" s="64"/>
      <c r="C40" s="82"/>
      <c r="D40" s="195">
        <v>29</v>
      </c>
      <c r="E40" s="104" t="s">
        <v>207</v>
      </c>
      <c r="F40" s="683" t="s">
        <v>311</v>
      </c>
      <c r="G40" s="396"/>
      <c r="H40" s="396"/>
      <c r="I40" s="396"/>
      <c r="J40" s="396"/>
      <c r="K40" s="396"/>
      <c r="L40" s="646"/>
      <c r="M40" s="648"/>
      <c r="N40" s="55"/>
      <c r="O40" s="407"/>
      <c r="P40" s="36"/>
      <c r="Q40" s="36"/>
      <c r="R40" s="36"/>
      <c r="S40" s="36"/>
      <c r="T40" s="36"/>
      <c r="U40" s="36"/>
      <c r="V40" s="36"/>
      <c r="W40" s="36"/>
      <c r="X40" s="36"/>
      <c r="Y40" s="36"/>
      <c r="Z40" s="36"/>
      <c r="AA40" s="36"/>
      <c r="AB40" s="84"/>
      <c r="AC40" s="77"/>
    </row>
    <row r="41" spans="2:29" ht="12.75" customHeight="1">
      <c r="B41" s="64"/>
      <c r="C41" s="82"/>
      <c r="D41" s="199">
        <v>30</v>
      </c>
      <c r="E41" s="104" t="s">
        <v>207</v>
      </c>
      <c r="F41" s="683" t="s">
        <v>311</v>
      </c>
      <c r="G41" s="396"/>
      <c r="H41" s="396"/>
      <c r="I41" s="396"/>
      <c r="J41" s="396"/>
      <c r="K41" s="396"/>
      <c r="L41" s="646"/>
      <c r="M41" s="648"/>
      <c r="N41" s="55"/>
      <c r="O41" s="407"/>
      <c r="P41" s="36"/>
      <c r="Q41" s="36"/>
      <c r="R41" s="36"/>
      <c r="S41" s="36"/>
      <c r="T41" s="36"/>
      <c r="U41" s="36"/>
      <c r="V41" s="36"/>
      <c r="W41" s="36"/>
      <c r="X41" s="36"/>
      <c r="Y41" s="36"/>
      <c r="Z41" s="36"/>
      <c r="AA41" s="36"/>
      <c r="AB41" s="81"/>
      <c r="AC41" s="77"/>
    </row>
    <row r="42" spans="2:29" ht="12.75" customHeight="1">
      <c r="B42" s="64"/>
      <c r="C42" s="82"/>
      <c r="D42" s="195">
        <v>31</v>
      </c>
      <c r="E42" s="104" t="s">
        <v>207</v>
      </c>
      <c r="F42" s="683" t="s">
        <v>311</v>
      </c>
      <c r="G42" s="396"/>
      <c r="H42" s="396"/>
      <c r="I42" s="396"/>
      <c r="J42" s="396"/>
      <c r="K42" s="396"/>
      <c r="L42" s="646"/>
      <c r="M42" s="648"/>
      <c r="N42" s="55"/>
      <c r="O42" s="407"/>
      <c r="P42" s="36"/>
      <c r="Q42" s="36"/>
      <c r="R42" s="36"/>
      <c r="S42" s="36"/>
      <c r="T42" s="36"/>
      <c r="U42" s="36"/>
      <c r="V42" s="36"/>
      <c r="W42" s="36"/>
      <c r="X42" s="36"/>
      <c r="Y42" s="36"/>
      <c r="Z42" s="36"/>
      <c r="AA42" s="36"/>
      <c r="AB42" s="81"/>
      <c r="AC42" s="77"/>
    </row>
    <row r="43" spans="2:29" ht="12.75" customHeight="1" thickBot="1">
      <c r="B43" s="64"/>
      <c r="C43" s="82"/>
      <c r="D43" s="202">
        <v>32</v>
      </c>
      <c r="E43" s="391" t="s">
        <v>207</v>
      </c>
      <c r="F43" s="684" t="s">
        <v>311</v>
      </c>
      <c r="G43" s="398"/>
      <c r="H43" s="398"/>
      <c r="I43" s="398"/>
      <c r="J43" s="398"/>
      <c r="K43" s="398"/>
      <c r="L43" s="647"/>
      <c r="M43" s="649"/>
      <c r="N43" s="55"/>
      <c r="O43" s="42"/>
      <c r="P43" s="41"/>
      <c r="Q43" s="41"/>
      <c r="R43" s="41"/>
      <c r="S43" s="41"/>
      <c r="T43" s="41"/>
      <c r="U43" s="41"/>
      <c r="V43" s="41"/>
      <c r="W43" s="41"/>
      <c r="X43" s="41"/>
      <c r="Y43" s="41"/>
      <c r="Z43" s="41"/>
      <c r="AA43" s="41"/>
      <c r="AB43" s="84"/>
      <c r="AC43" s="77"/>
    </row>
    <row r="44" spans="2:29" ht="12.75" customHeight="1">
      <c r="B44" s="64"/>
      <c r="C44" s="82"/>
      <c r="D44" s="36"/>
      <c r="E44" s="83"/>
      <c r="F44" s="83"/>
      <c r="G44" s="83"/>
      <c r="H44" s="83"/>
      <c r="I44" s="83"/>
      <c r="J44" s="83"/>
      <c r="K44" s="83"/>
      <c r="L44" s="83"/>
      <c r="M44" s="83"/>
      <c r="N44" s="55"/>
      <c r="O44" s="113"/>
      <c r="P44" s="55"/>
      <c r="Q44" s="55"/>
      <c r="R44" s="55"/>
      <c r="S44" s="55"/>
      <c r="T44" s="55"/>
      <c r="U44" s="55"/>
      <c r="V44" s="55"/>
      <c r="W44" s="55"/>
      <c r="X44" s="55"/>
      <c r="Y44" s="55"/>
      <c r="Z44" s="55"/>
      <c r="AA44" s="55"/>
      <c r="AB44" s="84"/>
      <c r="AC44" s="77"/>
    </row>
    <row r="45" spans="2:29" ht="12.75" customHeight="1">
      <c r="B45" s="64"/>
      <c r="C45" s="82"/>
      <c r="D45" s="612"/>
      <c r="E45" s="100"/>
      <c r="F45" s="100"/>
      <c r="G45" s="83"/>
      <c r="H45" s="400"/>
      <c r="I45" s="55"/>
      <c r="J45" s="83"/>
      <c r="K45" s="83"/>
      <c r="L45" s="83"/>
      <c r="M45" s="83"/>
      <c r="N45" s="55"/>
      <c r="O45" s="113"/>
      <c r="P45" s="55"/>
      <c r="Q45" s="55"/>
      <c r="R45" s="55"/>
      <c r="S45" s="55"/>
      <c r="T45" s="55"/>
      <c r="U45" s="55"/>
      <c r="V45" s="55"/>
      <c r="W45" s="55"/>
      <c r="X45" s="55"/>
      <c r="Y45" s="55"/>
      <c r="Z45" s="55"/>
      <c r="AA45" s="55"/>
      <c r="AB45" s="84"/>
      <c r="AC45" s="77"/>
    </row>
    <row r="46" spans="2:29" ht="12.75" customHeight="1">
      <c r="B46" s="64"/>
      <c r="C46" s="82"/>
      <c r="D46" s="612"/>
      <c r="E46" s="100"/>
      <c r="F46" s="100"/>
      <c r="G46" s="83"/>
      <c r="H46" s="400"/>
      <c r="I46" s="55"/>
      <c r="J46" s="83"/>
      <c r="K46" s="83"/>
      <c r="L46" s="83"/>
      <c r="M46" s="83"/>
      <c r="N46" s="55"/>
      <c r="O46" s="113"/>
      <c r="P46" s="55"/>
      <c r="Q46" s="55"/>
      <c r="R46" s="55"/>
      <c r="S46" s="55"/>
      <c r="T46" s="55"/>
      <c r="U46" s="55"/>
      <c r="V46" s="55"/>
      <c r="W46" s="55"/>
      <c r="X46" s="55"/>
      <c r="Y46" s="55"/>
      <c r="Z46" s="55"/>
      <c r="AA46" s="55"/>
      <c r="AB46" s="84"/>
      <c r="AC46" s="77"/>
    </row>
    <row r="47" spans="2:29" ht="12.75" customHeight="1">
      <c r="B47" s="64"/>
      <c r="C47" s="82"/>
      <c r="D47" s="612"/>
      <c r="E47" s="100"/>
      <c r="F47" s="100"/>
      <c r="G47" s="36"/>
      <c r="H47" s="400"/>
      <c r="I47" s="55"/>
      <c r="J47" s="36"/>
      <c r="K47" s="36"/>
      <c r="L47" s="36"/>
      <c r="M47" s="36"/>
      <c r="N47" s="55"/>
      <c r="O47" s="113"/>
      <c r="P47" s="55"/>
      <c r="Q47" s="55"/>
      <c r="R47" s="55"/>
      <c r="S47" s="55"/>
      <c r="T47" s="55"/>
      <c r="U47" s="55"/>
      <c r="V47" s="55"/>
      <c r="W47" s="55"/>
      <c r="X47" s="55"/>
      <c r="Y47" s="55"/>
      <c r="Z47" s="55"/>
      <c r="AA47" s="55"/>
      <c r="AB47" s="84"/>
      <c r="AC47" s="77"/>
    </row>
    <row r="48" spans="2:29" ht="12.75" customHeight="1">
      <c r="B48" s="64"/>
      <c r="C48" s="82"/>
      <c r="D48" s="612"/>
      <c r="E48" s="39"/>
      <c r="F48" s="39"/>
      <c r="G48" s="55"/>
      <c r="H48" s="400"/>
      <c r="I48" s="55"/>
      <c r="J48" s="55"/>
      <c r="K48" s="55"/>
      <c r="L48" s="55"/>
      <c r="M48" s="55"/>
      <c r="N48" s="55"/>
      <c r="O48" s="113"/>
      <c r="P48" s="55"/>
      <c r="Q48" s="55"/>
      <c r="R48" s="55"/>
      <c r="S48" s="55"/>
      <c r="T48" s="55"/>
      <c r="U48" s="55"/>
      <c r="V48" s="55"/>
      <c r="W48" s="55"/>
      <c r="X48" s="55"/>
      <c r="Y48" s="55"/>
      <c r="Z48" s="55"/>
      <c r="AA48" s="55"/>
      <c r="AB48" s="84"/>
      <c r="AC48" s="77"/>
    </row>
    <row r="49" spans="2:29" ht="12.75" customHeight="1">
      <c r="B49" s="64"/>
      <c r="C49" s="82"/>
      <c r="D49" s="55"/>
      <c r="E49" s="55"/>
      <c r="F49" s="55"/>
      <c r="G49" s="409"/>
      <c r="H49" s="83"/>
      <c r="I49" s="83"/>
      <c r="J49" s="55"/>
      <c r="K49" s="55"/>
      <c r="L49" s="55"/>
      <c r="M49" s="55"/>
      <c r="N49" s="171"/>
      <c r="O49" s="113"/>
      <c r="P49" s="55"/>
      <c r="Q49" s="55"/>
      <c r="R49" s="55"/>
      <c r="S49" s="55"/>
      <c r="T49" s="55"/>
      <c r="U49" s="55"/>
      <c r="V49" s="55"/>
      <c r="W49" s="55"/>
      <c r="X49" s="55"/>
      <c r="Y49" s="55"/>
      <c r="Z49" s="55"/>
      <c r="AA49" s="55"/>
      <c r="AB49" s="84"/>
      <c r="AC49" s="77"/>
    </row>
    <row r="50" spans="2:29" ht="12.75" customHeight="1">
      <c r="B50" s="64"/>
      <c r="C50" s="82"/>
      <c r="D50" s="55"/>
      <c r="E50" s="55"/>
      <c r="F50" s="55"/>
      <c r="G50" s="409"/>
      <c r="H50" s="83"/>
      <c r="I50" s="83"/>
      <c r="J50" s="55"/>
      <c r="K50" s="55"/>
      <c r="L50" s="55"/>
      <c r="M50" s="55"/>
      <c r="N50" s="171"/>
      <c r="O50" s="113"/>
      <c r="P50" s="55"/>
      <c r="Q50" s="55"/>
      <c r="R50" s="55"/>
      <c r="S50" s="55"/>
      <c r="T50" s="55"/>
      <c r="U50" s="55"/>
      <c r="V50" s="55"/>
      <c r="W50" s="55"/>
      <c r="X50" s="55"/>
      <c r="Y50" s="55"/>
      <c r="Z50" s="55"/>
      <c r="AA50" s="55"/>
      <c r="AB50" s="84"/>
      <c r="AC50" s="77"/>
    </row>
    <row r="51" spans="2:29" ht="12.75" customHeight="1">
      <c r="B51" s="64"/>
      <c r="C51" s="82"/>
      <c r="D51" s="55"/>
      <c r="E51" s="55"/>
      <c r="F51" s="55"/>
      <c r="G51" s="409"/>
      <c r="H51" s="83"/>
      <c r="I51" s="83"/>
      <c r="J51" s="55"/>
      <c r="K51" s="55"/>
      <c r="L51" s="55"/>
      <c r="M51" s="55"/>
      <c r="N51" s="171"/>
      <c r="O51" s="113"/>
      <c r="P51" s="55"/>
      <c r="Q51" s="55"/>
      <c r="R51" s="55"/>
      <c r="S51" s="55"/>
      <c r="T51" s="55"/>
      <c r="U51" s="55"/>
      <c r="V51" s="55"/>
      <c r="W51" s="55"/>
      <c r="X51" s="55"/>
      <c r="Y51" s="55"/>
      <c r="Z51" s="55"/>
      <c r="AA51" s="55"/>
      <c r="AB51" s="73"/>
      <c r="AC51" s="77"/>
    </row>
    <row r="52" spans="2:29" ht="12.75" customHeight="1">
      <c r="B52" s="64"/>
      <c r="C52" s="82"/>
      <c r="D52" s="37"/>
      <c r="E52" s="100"/>
      <c r="F52" s="100"/>
      <c r="G52" s="409"/>
      <c r="H52" s="83"/>
      <c r="I52" s="83"/>
      <c r="J52" s="55"/>
      <c r="K52" s="55"/>
      <c r="L52" s="55"/>
      <c r="M52" s="55"/>
      <c r="N52" s="137"/>
      <c r="O52" s="113"/>
      <c r="P52" s="55"/>
      <c r="Q52" s="55"/>
      <c r="R52" s="55"/>
      <c r="S52" s="55"/>
      <c r="T52" s="55"/>
      <c r="U52" s="55"/>
      <c r="V52" s="55"/>
      <c r="W52" s="55"/>
      <c r="X52" s="55"/>
      <c r="Y52" s="55"/>
      <c r="Z52" s="55"/>
      <c r="AA52" s="55"/>
      <c r="AB52" s="73"/>
      <c r="AC52" s="77"/>
    </row>
    <row r="53" spans="2:29" ht="12.75" customHeight="1">
      <c r="B53" s="64"/>
      <c r="C53" s="132"/>
      <c r="D53" s="137"/>
      <c r="E53" s="137"/>
      <c r="F53" s="137"/>
      <c r="G53" s="137"/>
      <c r="H53" s="147"/>
      <c r="I53" s="147"/>
      <c r="J53" s="137"/>
      <c r="K53" s="137"/>
      <c r="L53" s="137"/>
      <c r="M53" s="137"/>
      <c r="N53" s="55"/>
      <c r="O53" s="408"/>
      <c r="P53" s="171"/>
      <c r="Q53" s="171"/>
      <c r="R53" s="171"/>
      <c r="S53" s="171"/>
      <c r="T53" s="171"/>
      <c r="U53" s="171"/>
      <c r="V53" s="171"/>
      <c r="W53" s="171"/>
      <c r="X53" s="171"/>
      <c r="Y53" s="171"/>
      <c r="Z53" s="171"/>
      <c r="AA53" s="171"/>
      <c r="AB53" s="45"/>
      <c r="AC53" s="77"/>
    </row>
    <row r="54" spans="2:29" ht="12.75" customHeight="1">
      <c r="B54" s="64"/>
      <c r="C54" s="132"/>
      <c r="D54" s="55"/>
      <c r="E54" s="55"/>
      <c r="F54" s="55"/>
      <c r="G54" s="55"/>
      <c r="H54" s="55"/>
      <c r="I54" s="55"/>
      <c r="J54" s="55"/>
      <c r="K54" s="55"/>
      <c r="L54" s="55"/>
      <c r="M54" s="55"/>
      <c r="N54" s="55"/>
      <c r="O54" s="408"/>
      <c r="P54" s="171"/>
      <c r="Q54" s="171"/>
      <c r="R54" s="171"/>
      <c r="S54" s="171"/>
      <c r="T54" s="171"/>
      <c r="U54" s="171"/>
      <c r="V54" s="171"/>
      <c r="W54" s="171"/>
      <c r="X54" s="171"/>
      <c r="Y54" s="171"/>
      <c r="Z54" s="171"/>
      <c r="AA54" s="171"/>
      <c r="AB54" s="45"/>
      <c r="AC54" s="77"/>
    </row>
    <row r="55" spans="2:29" ht="12.75" customHeight="1">
      <c r="B55" s="64"/>
      <c r="C55" s="42"/>
      <c r="D55" s="55"/>
      <c r="E55" s="55"/>
      <c r="F55" s="55"/>
      <c r="G55" s="55"/>
      <c r="H55" s="55"/>
      <c r="I55" s="55"/>
      <c r="J55" s="55"/>
      <c r="K55" s="55"/>
      <c r="L55" s="55"/>
      <c r="M55" s="55"/>
      <c r="N55" s="55"/>
      <c r="O55" s="408"/>
      <c r="P55" s="171"/>
      <c r="Q55" s="171"/>
      <c r="R55" s="171"/>
      <c r="S55" s="171"/>
      <c r="T55" s="171"/>
      <c r="U55" s="171"/>
      <c r="V55" s="171"/>
      <c r="W55" s="171"/>
      <c r="X55" s="171"/>
      <c r="Y55" s="171"/>
      <c r="Z55" s="171"/>
      <c r="AA55" s="171"/>
      <c r="AB55" s="45"/>
      <c r="AC55" s="77"/>
    </row>
    <row r="56" spans="2:29" ht="12.75" customHeight="1">
      <c r="B56" s="64"/>
      <c r="C56" s="42"/>
      <c r="D56" s="55"/>
      <c r="E56" s="55"/>
      <c r="F56" s="55"/>
      <c r="G56" s="55"/>
      <c r="H56" s="55"/>
      <c r="I56" s="55"/>
      <c r="J56" s="55"/>
      <c r="K56" s="55"/>
      <c r="L56" s="55"/>
      <c r="M56" s="55"/>
      <c r="N56" s="55"/>
      <c r="O56" s="132"/>
      <c r="P56" s="137"/>
      <c r="Q56" s="137"/>
      <c r="R56" s="137"/>
      <c r="S56" s="137"/>
      <c r="T56" s="137"/>
      <c r="U56" s="137"/>
      <c r="V56" s="137"/>
      <c r="W56" s="137"/>
      <c r="X56" s="137"/>
      <c r="Y56" s="137"/>
      <c r="Z56" s="137"/>
      <c r="AA56" s="137"/>
      <c r="AB56" s="45"/>
      <c r="AC56" s="77"/>
    </row>
    <row r="57" spans="2:29" ht="12.75" customHeight="1">
      <c r="B57" s="64"/>
      <c r="C57" s="70"/>
      <c r="D57" s="55"/>
      <c r="E57" s="55"/>
      <c r="F57" s="55"/>
      <c r="G57" s="55"/>
      <c r="H57" s="55"/>
      <c r="I57" s="55"/>
      <c r="J57" s="55"/>
      <c r="K57" s="55"/>
      <c r="L57" s="55"/>
      <c r="M57" s="55"/>
      <c r="N57" s="137"/>
      <c r="O57" s="132"/>
      <c r="P57" s="137"/>
      <c r="Q57" s="137"/>
      <c r="R57" s="137"/>
      <c r="S57" s="137"/>
      <c r="T57" s="137"/>
      <c r="U57" s="137"/>
      <c r="V57" s="137"/>
      <c r="W57" s="137"/>
      <c r="X57" s="137"/>
      <c r="Y57" s="137"/>
      <c r="Z57" s="137"/>
      <c r="AA57" s="137"/>
      <c r="AB57" s="73"/>
      <c r="AC57" s="77"/>
    </row>
    <row r="58" spans="2:29" ht="12.75" customHeight="1">
      <c r="B58" s="64"/>
      <c r="C58" s="70"/>
      <c r="D58" s="137"/>
      <c r="E58" s="137"/>
      <c r="F58" s="137"/>
      <c r="G58" s="137"/>
      <c r="H58" s="155"/>
      <c r="I58" s="155"/>
      <c r="J58" s="149"/>
      <c r="K58" s="149"/>
      <c r="L58" s="137"/>
      <c r="M58" s="137"/>
      <c r="N58" s="41"/>
      <c r="O58" s="42"/>
      <c r="P58" s="41"/>
      <c r="Q58" s="41"/>
      <c r="R58" s="41"/>
      <c r="S58" s="41"/>
      <c r="T58" s="41"/>
      <c r="U58" s="41"/>
      <c r="V58" s="41"/>
      <c r="W58" s="41"/>
      <c r="X58" s="41"/>
      <c r="Y58" s="41"/>
      <c r="Z58" s="41"/>
      <c r="AA58" s="41"/>
      <c r="AB58" s="73"/>
      <c r="AC58" s="77"/>
    </row>
    <row r="59" spans="2:29" ht="12.75" customHeight="1">
      <c r="B59" s="64"/>
      <c r="C59" s="87"/>
      <c r="D59" s="88"/>
      <c r="E59" s="88"/>
      <c r="F59" s="88"/>
      <c r="G59" s="88"/>
      <c r="H59" s="89"/>
      <c r="I59" s="89"/>
      <c r="J59" s="88"/>
      <c r="K59" s="88"/>
      <c r="L59" s="88"/>
      <c r="M59" s="88"/>
      <c r="N59" s="88"/>
      <c r="O59" s="87"/>
      <c r="P59" s="88"/>
      <c r="Q59" s="88"/>
      <c r="R59" s="88"/>
      <c r="S59" s="88"/>
      <c r="T59" s="88"/>
      <c r="U59" s="88"/>
      <c r="V59" s="88"/>
      <c r="W59" s="88"/>
      <c r="X59" s="88"/>
      <c r="Y59" s="88"/>
      <c r="Z59" s="88"/>
      <c r="AA59" s="88"/>
      <c r="AB59" s="90"/>
      <c r="AC59" s="77"/>
    </row>
    <row r="60" spans="2:29" ht="12.7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3"/>
    </row>
    <row r="61" spans="4:27" ht="12.75" customHeight="1" thickTop="1">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4:27" ht="12.75" customHeight="1">
      <c r="D62" s="17"/>
      <c r="E62" s="17"/>
      <c r="F62" s="17"/>
      <c r="G62" s="29"/>
      <c r="H62" s="17"/>
      <c r="I62" s="17"/>
      <c r="J62" s="17"/>
      <c r="K62" s="17"/>
      <c r="L62" s="17"/>
      <c r="M62" s="17"/>
      <c r="N62" s="17"/>
      <c r="O62" s="17"/>
      <c r="P62" s="17"/>
      <c r="Q62" s="17"/>
      <c r="R62" s="17"/>
      <c r="S62" s="17"/>
      <c r="T62" s="17"/>
      <c r="U62" s="17"/>
      <c r="V62" s="17"/>
      <c r="W62" s="17"/>
      <c r="X62" s="17"/>
      <c r="Y62" s="17"/>
      <c r="Z62" s="17"/>
      <c r="AA62" s="17"/>
    </row>
    <row r="63" spans="1:29" ht="12.75" customHeight="1">
      <c r="A63" s="20"/>
      <c r="B63" s="20"/>
      <c r="C63" s="20"/>
      <c r="O63" s="17"/>
      <c r="P63" s="17"/>
      <c r="Q63" s="17"/>
      <c r="R63" s="17"/>
      <c r="S63" s="17"/>
      <c r="T63" s="17"/>
      <c r="U63" s="17"/>
      <c r="V63" s="17"/>
      <c r="W63" s="17"/>
      <c r="X63" s="17"/>
      <c r="Y63" s="17"/>
      <c r="Z63" s="17"/>
      <c r="AA63" s="17"/>
      <c r="AB63" s="20"/>
      <c r="AC63" s="20"/>
    </row>
    <row r="64" spans="1:29" ht="12.75" customHeight="1">
      <c r="A64" s="20"/>
      <c r="B64" s="17"/>
      <c r="C64" s="17"/>
      <c r="O64" s="17"/>
      <c r="P64" s="17"/>
      <c r="Q64" s="17"/>
      <c r="R64" s="17"/>
      <c r="S64" s="17"/>
      <c r="T64" s="17"/>
      <c r="U64" s="17"/>
      <c r="V64" s="17"/>
      <c r="W64" s="17"/>
      <c r="X64" s="17"/>
      <c r="Y64" s="17"/>
      <c r="Z64" s="17"/>
      <c r="AA64" s="17"/>
      <c r="AB64" s="20"/>
      <c r="AC64" s="20"/>
    </row>
    <row r="65" spans="1:29" ht="12.75" customHeight="1">
      <c r="A65" s="20"/>
      <c r="B65" s="17"/>
      <c r="C65" s="17"/>
      <c r="O65" s="17"/>
      <c r="P65" s="17"/>
      <c r="Q65" s="17"/>
      <c r="R65" s="17"/>
      <c r="S65" s="17"/>
      <c r="T65" s="17"/>
      <c r="U65" s="17"/>
      <c r="V65" s="17"/>
      <c r="W65" s="17"/>
      <c r="X65" s="17"/>
      <c r="Y65" s="17"/>
      <c r="Z65" s="17"/>
      <c r="AA65" s="17"/>
      <c r="AB65" s="20"/>
      <c r="AC65" s="20"/>
    </row>
    <row r="66" spans="1:29" ht="12.75" customHeight="1">
      <c r="A66" s="20"/>
      <c r="B66" s="17"/>
      <c r="C66" s="17"/>
      <c r="O66" s="17"/>
      <c r="P66" s="17"/>
      <c r="Q66" s="17"/>
      <c r="R66" s="17"/>
      <c r="S66" s="17"/>
      <c r="T66" s="17"/>
      <c r="U66" s="17"/>
      <c r="V66" s="17"/>
      <c r="W66" s="17"/>
      <c r="X66" s="17"/>
      <c r="Y66" s="17"/>
      <c r="Z66" s="17"/>
      <c r="AA66" s="17"/>
      <c r="AB66" s="20"/>
      <c r="AC66" s="20"/>
    </row>
    <row r="67" spans="1:29" ht="12.75" customHeight="1">
      <c r="A67" s="20"/>
      <c r="B67" s="17"/>
      <c r="C67" s="17"/>
      <c r="O67" s="17"/>
      <c r="P67" s="17"/>
      <c r="Q67" s="17"/>
      <c r="R67" s="17"/>
      <c r="S67" s="17"/>
      <c r="T67" s="17"/>
      <c r="U67" s="17"/>
      <c r="V67" s="17"/>
      <c r="W67" s="17"/>
      <c r="X67" s="17"/>
      <c r="Y67" s="17"/>
      <c r="Z67" s="17"/>
      <c r="AA67" s="17"/>
      <c r="AB67" s="20"/>
      <c r="AC67" s="20"/>
    </row>
    <row r="68" spans="1:30" ht="12.75" customHeight="1">
      <c r="A68" s="20"/>
      <c r="B68" s="17"/>
      <c r="C68" s="17"/>
      <c r="O68" s="17"/>
      <c r="P68" s="17"/>
      <c r="Q68" s="17"/>
      <c r="R68" s="17"/>
      <c r="S68" s="17"/>
      <c r="T68" s="17"/>
      <c r="U68" s="17"/>
      <c r="V68" s="17"/>
      <c r="W68" s="17"/>
      <c r="X68" s="17"/>
      <c r="Y68" s="17"/>
      <c r="Z68" s="17"/>
      <c r="AA68" s="17"/>
      <c r="AB68" s="17"/>
      <c r="AC68" s="17"/>
      <c r="AD68" s="15"/>
    </row>
    <row r="69" spans="1:30" ht="12.75" customHeight="1">
      <c r="A69" s="20"/>
      <c r="B69" s="17"/>
      <c r="C69" s="17"/>
      <c r="O69" s="17"/>
      <c r="P69" s="17"/>
      <c r="Q69" s="17"/>
      <c r="R69" s="17"/>
      <c r="S69" s="17"/>
      <c r="T69" s="17"/>
      <c r="U69" s="17"/>
      <c r="V69" s="17"/>
      <c r="W69" s="17"/>
      <c r="X69" s="17"/>
      <c r="Y69" s="17"/>
      <c r="Z69" s="17"/>
      <c r="AA69" s="17"/>
      <c r="AB69" s="17"/>
      <c r="AC69" s="17"/>
      <c r="AD69" s="15"/>
    </row>
    <row r="70" spans="1:30" ht="12.75" customHeight="1">
      <c r="A70" s="20"/>
      <c r="B70" s="17"/>
      <c r="C70" s="17"/>
      <c r="O70" s="17"/>
      <c r="P70" s="17"/>
      <c r="Q70" s="17"/>
      <c r="R70" s="17"/>
      <c r="S70" s="17"/>
      <c r="T70" s="17"/>
      <c r="U70" s="17"/>
      <c r="V70" s="17"/>
      <c r="W70" s="17"/>
      <c r="X70" s="17"/>
      <c r="Y70" s="17"/>
      <c r="Z70" s="17"/>
      <c r="AA70" s="17"/>
      <c r="AB70" s="17"/>
      <c r="AC70" s="17"/>
      <c r="AD70" s="15"/>
    </row>
    <row r="71" spans="1:30" ht="12.75" customHeight="1">
      <c r="A71" s="20"/>
      <c r="B71" s="17"/>
      <c r="C71" s="17"/>
      <c r="O71" s="17"/>
      <c r="P71" s="17"/>
      <c r="Q71" s="17"/>
      <c r="R71" s="17"/>
      <c r="S71" s="17"/>
      <c r="T71" s="17"/>
      <c r="U71" s="17"/>
      <c r="V71" s="17"/>
      <c r="W71" s="17"/>
      <c r="X71" s="17"/>
      <c r="Y71" s="17"/>
      <c r="Z71" s="17"/>
      <c r="AA71" s="17"/>
      <c r="AB71" s="17"/>
      <c r="AC71" s="17"/>
      <c r="AD71" s="15"/>
    </row>
    <row r="72" spans="1:30" ht="12.75" customHeight="1">
      <c r="A72" s="20"/>
      <c r="B72" s="17"/>
      <c r="C72" s="17"/>
      <c r="O72" s="17"/>
      <c r="P72" s="17"/>
      <c r="Q72" s="17"/>
      <c r="R72" s="17"/>
      <c r="S72" s="17"/>
      <c r="T72" s="17"/>
      <c r="U72" s="17"/>
      <c r="V72" s="17"/>
      <c r="W72" s="17"/>
      <c r="X72" s="17"/>
      <c r="Y72" s="17"/>
      <c r="Z72" s="17"/>
      <c r="AA72" s="17"/>
      <c r="AB72" s="17"/>
      <c r="AC72" s="17"/>
      <c r="AD72" s="15"/>
    </row>
    <row r="73" spans="1:30" ht="12.75" customHeight="1">
      <c r="A73" s="20"/>
      <c r="B73" s="17"/>
      <c r="C73" s="17"/>
      <c r="O73" s="17"/>
      <c r="P73" s="17"/>
      <c r="Q73" s="17"/>
      <c r="R73" s="17"/>
      <c r="S73" s="17"/>
      <c r="T73" s="17"/>
      <c r="U73" s="17"/>
      <c r="V73" s="17"/>
      <c r="W73" s="17"/>
      <c r="X73" s="17"/>
      <c r="Y73" s="17"/>
      <c r="Z73" s="17"/>
      <c r="AA73" s="17"/>
      <c r="AB73" s="17"/>
      <c r="AC73" s="17"/>
      <c r="AD73" s="15"/>
    </row>
    <row r="74" spans="1:30" ht="12.75" customHeight="1">
      <c r="A74" s="20"/>
      <c r="B74" s="17"/>
      <c r="C74" s="17"/>
      <c r="O74" s="17"/>
      <c r="P74" s="17"/>
      <c r="Q74" s="17"/>
      <c r="R74" s="17"/>
      <c r="S74" s="17"/>
      <c r="T74" s="17"/>
      <c r="U74" s="17"/>
      <c r="V74" s="17"/>
      <c r="W74" s="17"/>
      <c r="X74" s="17"/>
      <c r="Y74" s="17"/>
      <c r="Z74" s="17"/>
      <c r="AA74" s="17"/>
      <c r="AB74" s="17"/>
      <c r="AC74" s="17"/>
      <c r="AD74" s="15"/>
    </row>
    <row r="75" spans="1:30" ht="12.75" customHeight="1">
      <c r="A75" s="20"/>
      <c r="B75" s="17"/>
      <c r="C75" s="17"/>
      <c r="O75" s="17"/>
      <c r="P75" s="17"/>
      <c r="Q75" s="17"/>
      <c r="R75" s="17"/>
      <c r="S75" s="17"/>
      <c r="T75" s="17"/>
      <c r="U75" s="17"/>
      <c r="V75" s="17"/>
      <c r="W75" s="17"/>
      <c r="X75" s="17"/>
      <c r="Y75" s="17"/>
      <c r="Z75" s="17"/>
      <c r="AA75" s="17"/>
      <c r="AB75" s="17"/>
      <c r="AC75" s="17"/>
      <c r="AD75" s="15"/>
    </row>
    <row r="76" spans="1:30" ht="12.75" customHeight="1">
      <c r="A76" s="20"/>
      <c r="B76" s="17"/>
      <c r="C76" s="17"/>
      <c r="O76" s="12"/>
      <c r="P76" s="12"/>
      <c r="Q76" s="12"/>
      <c r="R76" s="12"/>
      <c r="S76" s="12"/>
      <c r="T76" s="12"/>
      <c r="U76" s="12"/>
      <c r="V76" s="12"/>
      <c r="W76" s="12"/>
      <c r="X76" s="12"/>
      <c r="Y76" s="12"/>
      <c r="Z76" s="12"/>
      <c r="AA76" s="12"/>
      <c r="AB76" s="17"/>
      <c r="AC76" s="17"/>
      <c r="AD76" s="15"/>
    </row>
    <row r="77" spans="1:30" ht="12.75" customHeight="1">
      <c r="A77" s="20"/>
      <c r="B77" s="17"/>
      <c r="C77" s="17"/>
      <c r="O77" s="17"/>
      <c r="P77" s="17"/>
      <c r="Q77" s="17"/>
      <c r="R77" s="17"/>
      <c r="S77" s="17"/>
      <c r="T77" s="17"/>
      <c r="U77" s="17"/>
      <c r="V77" s="17"/>
      <c r="W77" s="17"/>
      <c r="X77" s="17"/>
      <c r="Y77" s="17"/>
      <c r="Z77" s="17"/>
      <c r="AA77" s="17"/>
      <c r="AB77" s="17"/>
      <c r="AC77" s="17"/>
      <c r="AD77" s="15"/>
    </row>
    <row r="78" spans="1:30" ht="12.75" customHeight="1">
      <c r="A78" s="20"/>
      <c r="B78" s="17"/>
      <c r="C78" s="17"/>
      <c r="O78" s="17"/>
      <c r="P78" s="17"/>
      <c r="Q78" s="17"/>
      <c r="R78" s="17"/>
      <c r="S78" s="17"/>
      <c r="T78" s="17"/>
      <c r="U78" s="17"/>
      <c r="V78" s="17"/>
      <c r="W78" s="17"/>
      <c r="X78" s="17"/>
      <c r="Y78" s="17"/>
      <c r="Z78" s="17"/>
      <c r="AA78" s="17"/>
      <c r="AB78" s="17"/>
      <c r="AC78" s="17"/>
      <c r="AD78" s="15"/>
    </row>
    <row r="79" spans="1:30" ht="12.75" customHeight="1">
      <c r="A79" s="20"/>
      <c r="B79" s="17"/>
      <c r="C79" s="17"/>
      <c r="O79" s="17"/>
      <c r="P79" s="17"/>
      <c r="Q79" s="17"/>
      <c r="R79" s="17"/>
      <c r="S79" s="17"/>
      <c r="T79" s="17"/>
      <c r="U79" s="17"/>
      <c r="V79" s="17"/>
      <c r="W79" s="17"/>
      <c r="X79" s="17"/>
      <c r="Y79" s="17"/>
      <c r="Z79" s="17"/>
      <c r="AA79" s="17"/>
      <c r="AB79" s="17"/>
      <c r="AC79" s="17"/>
      <c r="AD79" s="15"/>
    </row>
    <row r="80" spans="1:30" ht="12.75" customHeight="1">
      <c r="A80" s="20"/>
      <c r="B80" s="17"/>
      <c r="C80" s="17"/>
      <c r="O80" s="17"/>
      <c r="P80" s="17"/>
      <c r="Q80" s="17"/>
      <c r="R80" s="17"/>
      <c r="S80" s="17"/>
      <c r="T80" s="17"/>
      <c r="U80" s="17"/>
      <c r="V80" s="17"/>
      <c r="W80" s="17"/>
      <c r="X80" s="17"/>
      <c r="Y80" s="17"/>
      <c r="Z80" s="17"/>
      <c r="AA80" s="17"/>
      <c r="AB80" s="17"/>
      <c r="AC80" s="17"/>
      <c r="AD80" s="15"/>
    </row>
    <row r="81" spans="1:30" ht="12.75" customHeight="1">
      <c r="A81" s="20"/>
      <c r="B81" s="17"/>
      <c r="C81" s="17"/>
      <c r="O81" s="17"/>
      <c r="P81" s="17"/>
      <c r="Q81" s="17"/>
      <c r="R81" s="17"/>
      <c r="S81" s="17"/>
      <c r="T81" s="17"/>
      <c r="U81" s="17"/>
      <c r="V81" s="17"/>
      <c r="W81" s="17"/>
      <c r="X81" s="17"/>
      <c r="Y81" s="17"/>
      <c r="Z81" s="17"/>
      <c r="AA81" s="17"/>
      <c r="AB81" s="17"/>
      <c r="AC81" s="17"/>
      <c r="AD81" s="15"/>
    </row>
    <row r="82" spans="1:30" ht="12.75" customHeight="1">
      <c r="A82" s="20"/>
      <c r="B82" s="17"/>
      <c r="C82" s="17"/>
      <c r="O82" s="17"/>
      <c r="P82" s="17"/>
      <c r="Q82" s="17"/>
      <c r="R82" s="17"/>
      <c r="S82" s="17"/>
      <c r="T82" s="17"/>
      <c r="U82" s="17"/>
      <c r="V82" s="17"/>
      <c r="W82" s="17"/>
      <c r="X82" s="17"/>
      <c r="Y82" s="17"/>
      <c r="Z82" s="17"/>
      <c r="AA82" s="17"/>
      <c r="AB82" s="17"/>
      <c r="AC82" s="17"/>
      <c r="AD82" s="15"/>
    </row>
    <row r="83" spans="1:30" ht="12.75" customHeight="1">
      <c r="A83" s="20"/>
      <c r="B83" s="17"/>
      <c r="C83" s="17"/>
      <c r="O83" s="17"/>
      <c r="P83" s="17"/>
      <c r="Q83" s="17"/>
      <c r="R83" s="17"/>
      <c r="S83" s="17"/>
      <c r="T83" s="17"/>
      <c r="U83" s="17"/>
      <c r="V83" s="17"/>
      <c r="W83" s="17"/>
      <c r="X83" s="17"/>
      <c r="Y83" s="17"/>
      <c r="Z83" s="17"/>
      <c r="AA83" s="17"/>
      <c r="AB83" s="17"/>
      <c r="AC83" s="17"/>
      <c r="AD83" s="15"/>
    </row>
    <row r="84" spans="1:30" ht="12.75" customHeight="1">
      <c r="A84" s="20"/>
      <c r="B84" s="17"/>
      <c r="C84" s="17"/>
      <c r="O84" s="17"/>
      <c r="P84" s="17"/>
      <c r="Q84" s="17"/>
      <c r="R84" s="17"/>
      <c r="S84" s="17"/>
      <c r="T84" s="17"/>
      <c r="U84" s="17"/>
      <c r="V84" s="17"/>
      <c r="W84" s="17"/>
      <c r="X84" s="17"/>
      <c r="Y84" s="17"/>
      <c r="Z84" s="17"/>
      <c r="AA84" s="17"/>
      <c r="AB84" s="17"/>
      <c r="AC84" s="17"/>
      <c r="AD84" s="15"/>
    </row>
    <row r="85" spans="1:30" ht="12.75" customHeight="1">
      <c r="A85" s="20"/>
      <c r="B85" s="17"/>
      <c r="C85" s="17"/>
      <c r="O85" s="17"/>
      <c r="P85" s="17"/>
      <c r="Q85" s="17"/>
      <c r="R85" s="17"/>
      <c r="S85" s="17"/>
      <c r="T85" s="17"/>
      <c r="U85" s="17"/>
      <c r="V85" s="17"/>
      <c r="W85" s="17"/>
      <c r="X85" s="17"/>
      <c r="Y85" s="17"/>
      <c r="Z85" s="17"/>
      <c r="AA85" s="17"/>
      <c r="AB85" s="17"/>
      <c r="AC85" s="17"/>
      <c r="AD85" s="15"/>
    </row>
    <row r="86" spans="1:30" ht="12.75" customHeight="1">
      <c r="A86" s="20"/>
      <c r="B86" s="17"/>
      <c r="C86" s="17"/>
      <c r="O86" s="22"/>
      <c r="P86" s="22"/>
      <c r="Q86" s="22"/>
      <c r="R86" s="22"/>
      <c r="S86" s="22"/>
      <c r="T86" s="22"/>
      <c r="U86" s="22"/>
      <c r="V86" s="22"/>
      <c r="W86" s="22"/>
      <c r="X86" s="22"/>
      <c r="Y86" s="22"/>
      <c r="Z86" s="22"/>
      <c r="AA86" s="22"/>
      <c r="AB86" s="22"/>
      <c r="AC86" s="22"/>
      <c r="AD86" s="15"/>
    </row>
    <row r="87" spans="1:30" ht="12.75" customHeight="1">
      <c r="A87" s="20"/>
      <c r="B87" s="17"/>
      <c r="C87" s="17"/>
      <c r="O87" s="17"/>
      <c r="P87" s="17"/>
      <c r="Q87" s="17"/>
      <c r="R87" s="17"/>
      <c r="S87" s="17"/>
      <c r="T87" s="17"/>
      <c r="U87" s="17"/>
      <c r="V87" s="17"/>
      <c r="W87" s="17"/>
      <c r="X87" s="17"/>
      <c r="Y87" s="17"/>
      <c r="Z87" s="17"/>
      <c r="AA87" s="17"/>
      <c r="AB87" s="17"/>
      <c r="AC87" s="17"/>
      <c r="AD87" s="15"/>
    </row>
    <row r="88" spans="1:30" ht="12.75" customHeight="1">
      <c r="A88" s="20"/>
      <c r="B88" s="17"/>
      <c r="C88" s="17"/>
      <c r="O88" s="17"/>
      <c r="P88" s="17"/>
      <c r="Q88" s="17"/>
      <c r="R88" s="17"/>
      <c r="S88" s="17"/>
      <c r="T88" s="17"/>
      <c r="U88" s="17"/>
      <c r="V88" s="17"/>
      <c r="W88" s="17"/>
      <c r="X88" s="17"/>
      <c r="Y88" s="17"/>
      <c r="Z88" s="17"/>
      <c r="AA88" s="17"/>
      <c r="AB88" s="17"/>
      <c r="AC88" s="17"/>
      <c r="AD88" s="15"/>
    </row>
    <row r="89" spans="1:30" ht="12.75" customHeight="1">
      <c r="A89" s="20"/>
      <c r="B89" s="17"/>
      <c r="C89" s="17"/>
      <c r="O89" s="17"/>
      <c r="P89" s="17"/>
      <c r="Q89" s="17"/>
      <c r="R89" s="17"/>
      <c r="S89" s="17"/>
      <c r="T89" s="17"/>
      <c r="U89" s="17"/>
      <c r="V89" s="17"/>
      <c r="W89" s="17"/>
      <c r="X89" s="17"/>
      <c r="Y89" s="17"/>
      <c r="Z89" s="17"/>
      <c r="AA89" s="17"/>
      <c r="AB89" s="17"/>
      <c r="AC89" s="17"/>
      <c r="AD89" s="15"/>
    </row>
    <row r="90" spans="1:30" ht="12.75" customHeight="1">
      <c r="A90" s="20"/>
      <c r="B90" s="17"/>
      <c r="C90" s="17"/>
      <c r="O90" s="17"/>
      <c r="P90" s="17"/>
      <c r="Q90" s="17"/>
      <c r="R90" s="17"/>
      <c r="S90" s="17"/>
      <c r="T90" s="17"/>
      <c r="U90" s="17"/>
      <c r="V90" s="17"/>
      <c r="W90" s="17"/>
      <c r="X90" s="17"/>
      <c r="Y90" s="17"/>
      <c r="Z90" s="17"/>
      <c r="AA90" s="17"/>
      <c r="AB90" s="17"/>
      <c r="AC90" s="17"/>
      <c r="AD90" s="15"/>
    </row>
    <row r="91" spans="1:30" ht="12.75" customHeight="1">
      <c r="A91" s="20"/>
      <c r="B91" s="17"/>
      <c r="C91" s="17"/>
      <c r="O91" s="17"/>
      <c r="P91" s="17"/>
      <c r="Q91" s="17"/>
      <c r="R91" s="17"/>
      <c r="S91" s="17"/>
      <c r="T91" s="17"/>
      <c r="U91" s="17"/>
      <c r="V91" s="17"/>
      <c r="W91" s="17"/>
      <c r="X91" s="17"/>
      <c r="Y91" s="17"/>
      <c r="Z91" s="17"/>
      <c r="AA91" s="17"/>
      <c r="AB91" s="17"/>
      <c r="AC91" s="17"/>
      <c r="AD91" s="15"/>
    </row>
    <row r="92" spans="1:30" ht="12.75" customHeight="1">
      <c r="A92" s="20"/>
      <c r="B92" s="17"/>
      <c r="C92" s="17"/>
      <c r="O92" s="17"/>
      <c r="P92" s="17"/>
      <c r="Q92" s="17"/>
      <c r="R92" s="17"/>
      <c r="S92" s="17"/>
      <c r="T92" s="17"/>
      <c r="U92" s="17"/>
      <c r="V92" s="17"/>
      <c r="W92" s="17"/>
      <c r="X92" s="17"/>
      <c r="Y92" s="17"/>
      <c r="Z92" s="17"/>
      <c r="AA92" s="17"/>
      <c r="AB92" s="17"/>
      <c r="AC92" s="17"/>
      <c r="AD92" s="15"/>
    </row>
    <row r="93" spans="1:30" ht="12.75" customHeight="1">
      <c r="A93" s="20"/>
      <c r="B93" s="17"/>
      <c r="C93" s="17"/>
      <c r="O93" s="17"/>
      <c r="P93" s="17"/>
      <c r="Q93" s="17"/>
      <c r="R93" s="17"/>
      <c r="S93" s="17"/>
      <c r="T93" s="17"/>
      <c r="U93" s="17"/>
      <c r="V93" s="17"/>
      <c r="W93" s="17"/>
      <c r="X93" s="17"/>
      <c r="Y93" s="17"/>
      <c r="Z93" s="17"/>
      <c r="AA93" s="17"/>
      <c r="AB93" s="17"/>
      <c r="AC93" s="17"/>
      <c r="AD93" s="15"/>
    </row>
    <row r="94" spans="1:30" ht="12.75" customHeight="1">
      <c r="A94" s="20"/>
      <c r="B94" s="17"/>
      <c r="C94" s="17"/>
      <c r="O94" s="17"/>
      <c r="P94" s="17"/>
      <c r="Q94" s="17"/>
      <c r="R94" s="17"/>
      <c r="S94" s="17"/>
      <c r="T94" s="17"/>
      <c r="U94" s="17"/>
      <c r="V94" s="17"/>
      <c r="W94" s="17"/>
      <c r="X94" s="17"/>
      <c r="Y94" s="17"/>
      <c r="Z94" s="17"/>
      <c r="AA94" s="17"/>
      <c r="AB94" s="17"/>
      <c r="AC94" s="17"/>
      <c r="AD94" s="15"/>
    </row>
    <row r="95" spans="1:30" ht="12.75" customHeight="1">
      <c r="A95" s="20"/>
      <c r="B95" s="17"/>
      <c r="C95" s="17"/>
      <c r="O95" s="17"/>
      <c r="P95" s="17"/>
      <c r="Q95" s="17"/>
      <c r="R95" s="17"/>
      <c r="S95" s="17"/>
      <c r="T95" s="17"/>
      <c r="U95" s="17"/>
      <c r="V95" s="17"/>
      <c r="W95" s="17"/>
      <c r="X95" s="17"/>
      <c r="Y95" s="17"/>
      <c r="Z95" s="17"/>
      <c r="AA95" s="17"/>
      <c r="AB95" s="17"/>
      <c r="AC95" s="17"/>
      <c r="AD95" s="15"/>
    </row>
    <row r="96" spans="1:30" ht="12.75" customHeight="1">
      <c r="A96" s="20"/>
      <c r="B96" s="17"/>
      <c r="C96" s="17"/>
      <c r="O96" s="17"/>
      <c r="P96" s="17"/>
      <c r="Q96" s="17"/>
      <c r="R96" s="17"/>
      <c r="S96" s="17"/>
      <c r="T96" s="17"/>
      <c r="U96" s="17"/>
      <c r="V96" s="17"/>
      <c r="W96" s="17"/>
      <c r="X96" s="17"/>
      <c r="Y96" s="17"/>
      <c r="Z96" s="17"/>
      <c r="AA96" s="17"/>
      <c r="AB96" s="17"/>
      <c r="AC96" s="17"/>
      <c r="AD96" s="15"/>
    </row>
    <row r="97" spans="1:30" ht="12.75" customHeight="1">
      <c r="A97" s="20"/>
      <c r="B97" s="17"/>
      <c r="C97" s="17"/>
      <c r="O97" s="17"/>
      <c r="P97" s="17"/>
      <c r="Q97" s="17"/>
      <c r="R97" s="17"/>
      <c r="S97" s="17"/>
      <c r="T97" s="17"/>
      <c r="U97" s="17"/>
      <c r="V97" s="17"/>
      <c r="W97" s="17"/>
      <c r="X97" s="17"/>
      <c r="Y97" s="17"/>
      <c r="Z97" s="17"/>
      <c r="AA97" s="17"/>
      <c r="AB97" s="17"/>
      <c r="AC97" s="17"/>
      <c r="AD97" s="15"/>
    </row>
    <row r="98" spans="1:30" ht="12.75" customHeight="1">
      <c r="A98" s="20"/>
      <c r="B98" s="17"/>
      <c r="C98" s="17"/>
      <c r="O98" s="17"/>
      <c r="P98" s="17"/>
      <c r="Q98" s="17"/>
      <c r="R98" s="17"/>
      <c r="S98" s="17"/>
      <c r="T98" s="17"/>
      <c r="U98" s="17"/>
      <c r="V98" s="17"/>
      <c r="W98" s="17"/>
      <c r="X98" s="17"/>
      <c r="Y98" s="17"/>
      <c r="Z98" s="17"/>
      <c r="AA98" s="17"/>
      <c r="AB98" s="17"/>
      <c r="AC98" s="17"/>
      <c r="AD98" s="15"/>
    </row>
    <row r="99" spans="1:30" ht="12.75" customHeight="1">
      <c r="A99" s="20"/>
      <c r="B99" s="17"/>
      <c r="C99" s="17"/>
      <c r="O99" s="17"/>
      <c r="P99" s="17"/>
      <c r="Q99" s="17"/>
      <c r="R99" s="17"/>
      <c r="S99" s="17"/>
      <c r="T99" s="17"/>
      <c r="U99" s="17"/>
      <c r="V99" s="17"/>
      <c r="W99" s="17"/>
      <c r="X99" s="17"/>
      <c r="Y99" s="17"/>
      <c r="Z99" s="17"/>
      <c r="AA99" s="17"/>
      <c r="AB99" s="17"/>
      <c r="AC99" s="17"/>
      <c r="AD99" s="15"/>
    </row>
    <row r="100" spans="1:30" ht="12.75" customHeight="1">
      <c r="A100" s="20"/>
      <c r="B100" s="17"/>
      <c r="C100" s="17"/>
      <c r="O100" s="17"/>
      <c r="P100" s="17"/>
      <c r="Q100" s="17"/>
      <c r="R100" s="17"/>
      <c r="S100" s="17"/>
      <c r="T100" s="17"/>
      <c r="U100" s="17"/>
      <c r="V100" s="17"/>
      <c r="W100" s="17"/>
      <c r="X100" s="17"/>
      <c r="Y100" s="17"/>
      <c r="Z100" s="17"/>
      <c r="AA100" s="17"/>
      <c r="AB100" s="17"/>
      <c r="AC100" s="17"/>
      <c r="AD100" s="15"/>
    </row>
    <row r="101" spans="1:30" ht="12.75" customHeight="1">
      <c r="A101" s="20"/>
      <c r="B101" s="17"/>
      <c r="C101" s="17"/>
      <c r="O101" s="17"/>
      <c r="P101" s="17"/>
      <c r="Q101" s="17"/>
      <c r="R101" s="17"/>
      <c r="S101" s="17"/>
      <c r="T101" s="17"/>
      <c r="U101" s="17"/>
      <c r="V101" s="17"/>
      <c r="W101" s="17"/>
      <c r="X101" s="17"/>
      <c r="Y101" s="17"/>
      <c r="Z101" s="17"/>
      <c r="AA101" s="17"/>
      <c r="AB101" s="17"/>
      <c r="AC101" s="17"/>
      <c r="AD101" s="15"/>
    </row>
    <row r="102" spans="1:30" ht="12.75" customHeight="1">
      <c r="A102" s="20"/>
      <c r="B102" s="17"/>
      <c r="C102" s="17"/>
      <c r="O102" s="17"/>
      <c r="P102" s="17"/>
      <c r="Q102" s="17"/>
      <c r="R102" s="17"/>
      <c r="S102" s="17"/>
      <c r="T102" s="17"/>
      <c r="U102" s="17"/>
      <c r="V102" s="17"/>
      <c r="W102" s="17"/>
      <c r="X102" s="17"/>
      <c r="Y102" s="17"/>
      <c r="Z102" s="17"/>
      <c r="AA102" s="17"/>
      <c r="AB102" s="17"/>
      <c r="AC102" s="17"/>
      <c r="AD102" s="15"/>
    </row>
    <row r="103" spans="1:30" ht="12.75" customHeight="1">
      <c r="A103" s="20"/>
      <c r="B103" s="17"/>
      <c r="C103" s="17"/>
      <c r="O103" s="17"/>
      <c r="P103" s="17"/>
      <c r="Q103" s="17"/>
      <c r="R103" s="17"/>
      <c r="S103" s="17"/>
      <c r="T103" s="17"/>
      <c r="U103" s="17"/>
      <c r="V103" s="17"/>
      <c r="W103" s="17"/>
      <c r="X103" s="17"/>
      <c r="Y103" s="17"/>
      <c r="Z103" s="17"/>
      <c r="AA103" s="17"/>
      <c r="AB103" s="17"/>
      <c r="AC103" s="17"/>
      <c r="AD103" s="15"/>
    </row>
    <row r="104" spans="1:30" ht="12.75" customHeight="1">
      <c r="A104" s="20"/>
      <c r="B104" s="17"/>
      <c r="C104" s="17"/>
      <c r="O104" s="17"/>
      <c r="P104" s="17"/>
      <c r="Q104" s="17"/>
      <c r="R104" s="17"/>
      <c r="S104" s="17"/>
      <c r="T104" s="17"/>
      <c r="U104" s="17"/>
      <c r="V104" s="17"/>
      <c r="W104" s="17"/>
      <c r="X104" s="17"/>
      <c r="Y104" s="17"/>
      <c r="Z104" s="17"/>
      <c r="AA104" s="17"/>
      <c r="AB104" s="17"/>
      <c r="AC104" s="17"/>
      <c r="AD104" s="15"/>
    </row>
    <row r="105" spans="1:30" ht="12.75" customHeight="1">
      <c r="A105" s="20"/>
      <c r="B105" s="17"/>
      <c r="C105" s="17"/>
      <c r="O105" s="17"/>
      <c r="P105" s="17"/>
      <c r="Q105" s="17"/>
      <c r="R105" s="17"/>
      <c r="S105" s="17"/>
      <c r="T105" s="17"/>
      <c r="U105" s="17"/>
      <c r="V105" s="17"/>
      <c r="W105" s="17"/>
      <c r="X105" s="17"/>
      <c r="Y105" s="17"/>
      <c r="Z105" s="17"/>
      <c r="AA105" s="17"/>
      <c r="AB105" s="17"/>
      <c r="AC105" s="17"/>
      <c r="AD105" s="15"/>
    </row>
    <row r="106" spans="1:30" ht="12.75" customHeight="1">
      <c r="A106" s="20"/>
      <c r="B106" s="17"/>
      <c r="C106" s="17"/>
      <c r="N106" s="17"/>
      <c r="O106" s="17"/>
      <c r="P106" s="17"/>
      <c r="Q106" s="17"/>
      <c r="R106" s="17"/>
      <c r="S106" s="17"/>
      <c r="T106" s="17"/>
      <c r="U106" s="17"/>
      <c r="V106" s="17"/>
      <c r="W106" s="17"/>
      <c r="X106" s="17"/>
      <c r="Y106" s="17"/>
      <c r="Z106" s="17"/>
      <c r="AA106" s="17"/>
      <c r="AB106" s="17"/>
      <c r="AC106" s="17"/>
      <c r="AD106" s="15"/>
    </row>
    <row r="107" spans="1:30" ht="12.75" customHeight="1">
      <c r="A107" s="20"/>
      <c r="B107" s="17"/>
      <c r="C107" s="17"/>
      <c r="N107" s="17"/>
      <c r="O107" s="17"/>
      <c r="P107" s="17"/>
      <c r="Q107" s="17"/>
      <c r="R107" s="17"/>
      <c r="S107" s="17"/>
      <c r="T107" s="17"/>
      <c r="U107" s="17"/>
      <c r="V107" s="17"/>
      <c r="W107" s="17"/>
      <c r="X107" s="17"/>
      <c r="Y107" s="17"/>
      <c r="Z107" s="17"/>
      <c r="AA107" s="17"/>
      <c r="AB107" s="17"/>
      <c r="AC107" s="17"/>
      <c r="AD107" s="15"/>
    </row>
    <row r="108" spans="1:30" ht="12.75" customHeight="1">
      <c r="A108" s="20"/>
      <c r="B108" s="17"/>
      <c r="C108" s="17"/>
      <c r="N108" s="17"/>
      <c r="O108" s="17"/>
      <c r="P108" s="17"/>
      <c r="Q108" s="17"/>
      <c r="R108" s="17"/>
      <c r="S108" s="17"/>
      <c r="T108" s="17"/>
      <c r="U108" s="17"/>
      <c r="V108" s="17"/>
      <c r="W108" s="17"/>
      <c r="X108" s="17"/>
      <c r="Y108" s="17"/>
      <c r="Z108" s="17"/>
      <c r="AA108" s="17"/>
      <c r="AB108" s="17"/>
      <c r="AC108" s="17"/>
      <c r="AD108" s="15"/>
    </row>
    <row r="109" spans="1:30" ht="12.75" customHeight="1">
      <c r="A109" s="20"/>
      <c r="B109" s="17"/>
      <c r="C109" s="17"/>
      <c r="N109" s="17"/>
      <c r="O109" s="17"/>
      <c r="P109" s="17"/>
      <c r="Q109" s="17"/>
      <c r="R109" s="17"/>
      <c r="S109" s="17"/>
      <c r="T109" s="17"/>
      <c r="U109" s="17"/>
      <c r="V109" s="17"/>
      <c r="W109" s="17"/>
      <c r="X109" s="17"/>
      <c r="Y109" s="17"/>
      <c r="Z109" s="17"/>
      <c r="AA109" s="17"/>
      <c r="AB109" s="17"/>
      <c r="AC109" s="17"/>
      <c r="AD109" s="15"/>
    </row>
    <row r="110" spans="1:30" ht="12.75" customHeight="1">
      <c r="A110" s="20"/>
      <c r="B110" s="17"/>
      <c r="C110" s="17"/>
      <c r="N110" s="17"/>
      <c r="O110" s="17"/>
      <c r="P110" s="17"/>
      <c r="Q110" s="17"/>
      <c r="R110" s="17"/>
      <c r="S110" s="17"/>
      <c r="T110" s="17"/>
      <c r="U110" s="17"/>
      <c r="V110" s="17"/>
      <c r="W110" s="17"/>
      <c r="X110" s="17"/>
      <c r="Y110" s="17"/>
      <c r="Z110" s="17"/>
      <c r="AA110" s="17"/>
      <c r="AB110" s="17"/>
      <c r="AC110" s="17"/>
      <c r="AD110" s="15"/>
    </row>
    <row r="111" spans="1:30" ht="12.75" customHeight="1">
      <c r="A111" s="20"/>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5"/>
    </row>
    <row r="112" spans="1:30" ht="12.75" customHeight="1">
      <c r="A112" s="20"/>
      <c r="B112" s="17"/>
      <c r="C112" s="17"/>
      <c r="D112" s="17"/>
      <c r="E112" s="17"/>
      <c r="F112" s="17"/>
      <c r="G112" s="2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5"/>
    </row>
    <row r="113" spans="1:30" ht="12.75" customHeight="1">
      <c r="A113" s="20"/>
      <c r="B113" s="17"/>
      <c r="C113" s="17"/>
      <c r="D113" s="17"/>
      <c r="E113" s="17"/>
      <c r="F113" s="17"/>
      <c r="G113" s="29"/>
      <c r="H113" s="17"/>
      <c r="I113" s="17"/>
      <c r="J113" s="17"/>
      <c r="K113" s="17"/>
      <c r="L113" s="17"/>
      <c r="M113" s="17"/>
      <c r="N113" s="17"/>
      <c r="O113" s="17"/>
      <c r="P113" s="17"/>
      <c r="Q113" s="17"/>
      <c r="R113" s="17"/>
      <c r="S113" s="17"/>
      <c r="T113" s="17"/>
      <c r="U113" s="17"/>
      <c r="V113" s="17"/>
      <c r="W113" s="17"/>
      <c r="X113" s="17"/>
      <c r="Y113" s="17"/>
      <c r="Z113" s="17"/>
      <c r="AA113" s="17"/>
      <c r="AB113" s="17"/>
      <c r="AC113" s="17"/>
      <c r="AD113" s="15"/>
    </row>
    <row r="114" spans="1:30" ht="12.75" customHeight="1">
      <c r="A114" s="20"/>
      <c r="B114" s="17"/>
      <c r="C114" s="17"/>
      <c r="D114" s="31"/>
      <c r="E114" s="25"/>
      <c r="F114" s="25"/>
      <c r="G114" s="25"/>
      <c r="H114" s="17"/>
      <c r="I114" s="17"/>
      <c r="J114" s="17"/>
      <c r="K114" s="17"/>
      <c r="L114" s="17"/>
      <c r="M114" s="17"/>
      <c r="N114" s="17"/>
      <c r="O114" s="17"/>
      <c r="P114" s="17"/>
      <c r="Q114" s="17"/>
      <c r="R114" s="17"/>
      <c r="S114" s="17"/>
      <c r="T114" s="17"/>
      <c r="U114" s="17"/>
      <c r="V114" s="17"/>
      <c r="W114" s="17"/>
      <c r="X114" s="17"/>
      <c r="Y114" s="17"/>
      <c r="Z114" s="17"/>
      <c r="AA114" s="17"/>
      <c r="AB114" s="17"/>
      <c r="AC114" s="17"/>
      <c r="AD114" s="15"/>
    </row>
    <row r="115" spans="1:30" ht="12.75" customHeight="1">
      <c r="A115" s="20"/>
      <c r="B115" s="17"/>
      <c r="C115" s="17"/>
      <c r="D115" s="24"/>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5"/>
    </row>
    <row r="116" spans="1:30" ht="12.75" customHeight="1">
      <c r="A116" s="20"/>
      <c r="B116" s="17"/>
      <c r="C116" s="17"/>
      <c r="D116" s="24"/>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5"/>
    </row>
    <row r="117" spans="1:30" ht="12.75" customHeight="1">
      <c r="A117" s="20"/>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5"/>
    </row>
    <row r="118" spans="1:30" ht="12.75" customHeight="1">
      <c r="A118" s="20"/>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5"/>
    </row>
    <row r="119" spans="1:30" ht="12.75" customHeight="1">
      <c r="A119" s="20"/>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5"/>
    </row>
    <row r="120" spans="1:30" ht="12.75" customHeight="1">
      <c r="A120" s="20"/>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5"/>
    </row>
    <row r="121" spans="1:30" ht="12.75" customHeight="1">
      <c r="A121" s="20"/>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5"/>
    </row>
    <row r="122" spans="1:30" ht="12.75" customHeight="1">
      <c r="A122" s="20"/>
      <c r="B122" s="17"/>
      <c r="C122" s="17"/>
      <c r="D122" s="31"/>
      <c r="E122" s="25"/>
      <c r="F122" s="25"/>
      <c r="G122" s="25"/>
      <c r="H122" s="17"/>
      <c r="I122" s="17"/>
      <c r="J122" s="17"/>
      <c r="K122" s="17"/>
      <c r="L122" s="17"/>
      <c r="M122" s="17"/>
      <c r="N122" s="17"/>
      <c r="O122" s="17"/>
      <c r="P122" s="17"/>
      <c r="Q122" s="17"/>
      <c r="R122" s="17"/>
      <c r="S122" s="17"/>
      <c r="T122" s="17"/>
      <c r="U122" s="17"/>
      <c r="V122" s="17"/>
      <c r="W122" s="17"/>
      <c r="X122" s="17"/>
      <c r="Y122" s="17"/>
      <c r="Z122" s="17"/>
      <c r="AA122" s="17"/>
      <c r="AB122" s="17"/>
      <c r="AC122" s="17"/>
      <c r="AD122" s="15"/>
    </row>
    <row r="123" spans="1:30" ht="12.75" customHeight="1">
      <c r="A123" s="20"/>
      <c r="B123" s="17"/>
      <c r="C123" s="17"/>
      <c r="D123" s="25"/>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5"/>
    </row>
    <row r="124" spans="1:30" ht="12.75" customHeight="1">
      <c r="A124" s="20"/>
      <c r="B124" s="17"/>
      <c r="C124" s="17"/>
      <c r="D124" s="25"/>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5"/>
    </row>
    <row r="125" spans="1:30" ht="12.75" customHeight="1">
      <c r="A125" s="20"/>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5"/>
    </row>
    <row r="126" spans="1:30" ht="12.75" customHeight="1">
      <c r="A126" s="20"/>
      <c r="B126" s="17"/>
      <c r="C126" s="17"/>
      <c r="D126" s="31"/>
      <c r="E126" s="25"/>
      <c r="F126" s="25"/>
      <c r="G126" s="25"/>
      <c r="H126" s="17"/>
      <c r="I126" s="17"/>
      <c r="J126" s="17"/>
      <c r="K126" s="17"/>
      <c r="L126" s="17"/>
      <c r="M126" s="17"/>
      <c r="N126" s="17"/>
      <c r="O126" s="17"/>
      <c r="P126" s="17"/>
      <c r="Q126" s="17"/>
      <c r="R126" s="17"/>
      <c r="S126" s="17"/>
      <c r="T126" s="17"/>
      <c r="U126" s="17"/>
      <c r="V126" s="17"/>
      <c r="W126" s="17"/>
      <c r="X126" s="17"/>
      <c r="Y126" s="17"/>
      <c r="Z126" s="17"/>
      <c r="AA126" s="17"/>
      <c r="AB126" s="17"/>
      <c r="AC126" s="17"/>
      <c r="AD126" s="15"/>
    </row>
    <row r="127" spans="1:30" ht="12.75" customHeight="1">
      <c r="A127" s="20"/>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5"/>
    </row>
    <row r="128" spans="1:30" ht="12.75" customHeight="1">
      <c r="A128" s="20"/>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5"/>
    </row>
    <row r="129" spans="1:30" ht="12.75" customHeight="1">
      <c r="A129" s="2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5"/>
    </row>
    <row r="130" spans="1:30" ht="12.75" customHeight="1">
      <c r="A130" s="2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5"/>
    </row>
    <row r="131" spans="1:30" ht="12.75" customHeight="1">
      <c r="A131" s="20"/>
      <c r="B131" s="17"/>
      <c r="C131" s="17"/>
      <c r="D131" s="17"/>
      <c r="E131" s="17"/>
      <c r="F131" s="17"/>
      <c r="G131" s="17"/>
      <c r="H131" s="17"/>
      <c r="I131" s="17"/>
      <c r="J131" s="33"/>
      <c r="K131" s="33"/>
      <c r="L131" s="17"/>
      <c r="M131" s="17"/>
      <c r="N131" s="17"/>
      <c r="O131" s="17"/>
      <c r="P131" s="17"/>
      <c r="Q131" s="17"/>
      <c r="R131" s="17"/>
      <c r="S131" s="17"/>
      <c r="T131" s="17"/>
      <c r="U131" s="17"/>
      <c r="V131" s="17"/>
      <c r="W131" s="17"/>
      <c r="X131" s="17"/>
      <c r="Y131" s="17"/>
      <c r="Z131" s="17"/>
      <c r="AA131" s="17"/>
      <c r="AB131" s="17"/>
      <c r="AC131" s="17"/>
      <c r="AD131" s="15"/>
    </row>
    <row r="132" spans="1:30" ht="12.75" customHeight="1">
      <c r="A132" s="20"/>
      <c r="B132" s="17"/>
      <c r="C132" s="17"/>
      <c r="D132" s="17"/>
      <c r="E132" s="17"/>
      <c r="F132" s="17"/>
      <c r="G132" s="17"/>
      <c r="H132" s="17"/>
      <c r="I132" s="17"/>
      <c r="J132" s="33"/>
      <c r="K132" s="33"/>
      <c r="L132" s="17"/>
      <c r="M132" s="17"/>
      <c r="N132" s="17"/>
      <c r="O132" s="17"/>
      <c r="P132" s="17"/>
      <c r="Q132" s="17"/>
      <c r="R132" s="17"/>
      <c r="S132" s="17"/>
      <c r="T132" s="17"/>
      <c r="U132" s="17"/>
      <c r="V132" s="17"/>
      <c r="W132" s="17"/>
      <c r="X132" s="17"/>
      <c r="Y132" s="17"/>
      <c r="Z132" s="17"/>
      <c r="AA132" s="17"/>
      <c r="AB132" s="17"/>
      <c r="AC132" s="17"/>
      <c r="AD132" s="15"/>
    </row>
    <row r="133" spans="1:30" ht="12.75" customHeight="1">
      <c r="A133" s="20"/>
      <c r="B133" s="17"/>
      <c r="C133" s="17"/>
      <c r="D133" s="31"/>
      <c r="E133" s="25"/>
      <c r="F133" s="25"/>
      <c r="G133" s="25"/>
      <c r="H133" s="17"/>
      <c r="I133" s="17"/>
      <c r="J133" s="33"/>
      <c r="K133" s="33"/>
      <c r="L133" s="17"/>
      <c r="M133" s="17"/>
      <c r="N133" s="17"/>
      <c r="O133" s="17"/>
      <c r="P133" s="17"/>
      <c r="Q133" s="17"/>
      <c r="R133" s="17"/>
      <c r="S133" s="17"/>
      <c r="T133" s="17"/>
      <c r="U133" s="17"/>
      <c r="V133" s="17"/>
      <c r="W133" s="17"/>
      <c r="X133" s="17"/>
      <c r="Y133" s="17"/>
      <c r="Z133" s="17"/>
      <c r="AA133" s="17"/>
      <c r="AB133" s="17"/>
      <c r="AC133" s="17"/>
      <c r="AD133" s="15"/>
    </row>
    <row r="134" spans="1:30" ht="12.75" customHeight="1">
      <c r="A134" s="20"/>
      <c r="B134" s="17"/>
      <c r="C134" s="17"/>
      <c r="D134" s="18"/>
      <c r="E134" s="17"/>
      <c r="F134" s="17"/>
      <c r="G134" s="23"/>
      <c r="H134" s="17"/>
      <c r="I134" s="17"/>
      <c r="J134" s="33"/>
      <c r="K134" s="33"/>
      <c r="L134" s="17"/>
      <c r="M134" s="17"/>
      <c r="N134" s="17"/>
      <c r="O134" s="17"/>
      <c r="P134" s="17"/>
      <c r="Q134" s="17"/>
      <c r="R134" s="17"/>
      <c r="S134" s="17"/>
      <c r="T134" s="17"/>
      <c r="U134" s="17"/>
      <c r="V134" s="17"/>
      <c r="W134" s="17"/>
      <c r="X134" s="17"/>
      <c r="Y134" s="17"/>
      <c r="Z134" s="17"/>
      <c r="AA134" s="17"/>
      <c r="AB134" s="17"/>
      <c r="AC134" s="17"/>
      <c r="AD134" s="15"/>
    </row>
    <row r="135" spans="1:30" ht="12.75" customHeight="1">
      <c r="A135" s="20"/>
      <c r="B135" s="17"/>
      <c r="C135" s="17"/>
      <c r="D135" s="18"/>
      <c r="E135" s="17"/>
      <c r="F135" s="17"/>
      <c r="G135" s="23"/>
      <c r="H135" s="17"/>
      <c r="I135" s="17"/>
      <c r="J135" s="17"/>
      <c r="K135" s="17"/>
      <c r="L135" s="17"/>
      <c r="M135" s="17"/>
      <c r="N135" s="17"/>
      <c r="O135" s="17"/>
      <c r="P135" s="17"/>
      <c r="Q135" s="17"/>
      <c r="R135" s="17"/>
      <c r="S135" s="17"/>
      <c r="T135" s="17"/>
      <c r="U135" s="17"/>
      <c r="V135" s="17"/>
      <c r="W135" s="17"/>
      <c r="X135" s="17"/>
      <c r="Y135" s="17"/>
      <c r="Z135" s="17"/>
      <c r="AA135" s="17"/>
      <c r="AB135" s="17"/>
      <c r="AC135" s="17"/>
      <c r="AD135" s="15"/>
    </row>
    <row r="136" spans="1:30" ht="12.75" customHeight="1">
      <c r="A136" s="20"/>
      <c r="B136" s="17"/>
      <c r="C136" s="17"/>
      <c r="D136" s="18"/>
      <c r="E136" s="17"/>
      <c r="F136" s="17"/>
      <c r="G136" s="23"/>
      <c r="H136" s="17"/>
      <c r="I136" s="17"/>
      <c r="J136" s="33"/>
      <c r="K136" s="33"/>
      <c r="L136" s="17"/>
      <c r="M136" s="17"/>
      <c r="N136" s="17"/>
      <c r="O136" s="17"/>
      <c r="P136" s="17"/>
      <c r="Q136" s="17"/>
      <c r="R136" s="17"/>
      <c r="S136" s="17"/>
      <c r="T136" s="17"/>
      <c r="U136" s="17"/>
      <c r="V136" s="17"/>
      <c r="W136" s="17"/>
      <c r="X136" s="17"/>
      <c r="Y136" s="17"/>
      <c r="Z136" s="17"/>
      <c r="AA136" s="17"/>
      <c r="AB136" s="17"/>
      <c r="AC136" s="17"/>
      <c r="AD136" s="15"/>
    </row>
    <row r="137" spans="1:30" ht="12.75" customHeight="1">
      <c r="A137" s="20"/>
      <c r="B137" s="17"/>
      <c r="C137" s="17"/>
      <c r="D137" s="18"/>
      <c r="E137" s="17"/>
      <c r="F137" s="17"/>
      <c r="G137" s="23"/>
      <c r="H137" s="17"/>
      <c r="I137" s="17"/>
      <c r="J137" s="33"/>
      <c r="K137" s="33"/>
      <c r="L137" s="17"/>
      <c r="M137" s="17"/>
      <c r="N137" s="17"/>
      <c r="O137" s="17"/>
      <c r="P137" s="17"/>
      <c r="Q137" s="17"/>
      <c r="R137" s="17"/>
      <c r="S137" s="17"/>
      <c r="T137" s="17"/>
      <c r="U137" s="17"/>
      <c r="V137" s="17"/>
      <c r="W137" s="17"/>
      <c r="X137" s="17"/>
      <c r="Y137" s="17"/>
      <c r="Z137" s="17"/>
      <c r="AA137" s="17"/>
      <c r="AB137" s="17"/>
      <c r="AC137" s="17"/>
      <c r="AD137" s="15"/>
    </row>
    <row r="138" spans="1:30" ht="12.75" customHeight="1">
      <c r="A138" s="20"/>
      <c r="B138" s="17"/>
      <c r="C138" s="17"/>
      <c r="D138" s="18"/>
      <c r="E138" s="17"/>
      <c r="F138" s="17"/>
      <c r="G138" s="23"/>
      <c r="H138" s="17"/>
      <c r="I138" s="17"/>
      <c r="J138" s="33"/>
      <c r="K138" s="33"/>
      <c r="L138" s="17"/>
      <c r="M138" s="17"/>
      <c r="N138" s="17"/>
      <c r="O138" s="17"/>
      <c r="P138" s="17"/>
      <c r="Q138" s="17"/>
      <c r="R138" s="17"/>
      <c r="S138" s="17"/>
      <c r="T138" s="17"/>
      <c r="U138" s="17"/>
      <c r="V138" s="17"/>
      <c r="W138" s="17"/>
      <c r="X138" s="17"/>
      <c r="Y138" s="17"/>
      <c r="Z138" s="17"/>
      <c r="AA138" s="17"/>
      <c r="AB138" s="17"/>
      <c r="AC138" s="17"/>
      <c r="AD138" s="15"/>
    </row>
    <row r="139" spans="1:30" ht="12.75" customHeight="1">
      <c r="A139" s="20"/>
      <c r="B139" s="17"/>
      <c r="C139" s="17"/>
      <c r="D139" s="18"/>
      <c r="E139" s="17"/>
      <c r="F139" s="17"/>
      <c r="G139" s="23"/>
      <c r="H139" s="17"/>
      <c r="I139" s="17"/>
      <c r="J139" s="33"/>
      <c r="K139" s="33"/>
      <c r="L139" s="17"/>
      <c r="M139" s="17"/>
      <c r="N139" s="17"/>
      <c r="O139" s="17"/>
      <c r="P139" s="17"/>
      <c r="Q139" s="17"/>
      <c r="R139" s="17"/>
      <c r="S139" s="17"/>
      <c r="T139" s="17"/>
      <c r="U139" s="17"/>
      <c r="V139" s="17"/>
      <c r="W139" s="17"/>
      <c r="X139" s="17"/>
      <c r="Y139" s="17"/>
      <c r="Z139" s="17"/>
      <c r="AA139" s="17"/>
      <c r="AB139" s="17"/>
      <c r="AC139" s="17"/>
      <c r="AD139" s="15"/>
    </row>
    <row r="140" spans="1:30" ht="12.75" customHeight="1">
      <c r="A140" s="20"/>
      <c r="B140" s="20"/>
      <c r="C140" s="17"/>
      <c r="D140" s="18"/>
      <c r="E140" s="17"/>
      <c r="F140" s="17"/>
      <c r="G140" s="23"/>
      <c r="H140" s="17"/>
      <c r="I140" s="17"/>
      <c r="J140" s="33"/>
      <c r="K140" s="33"/>
      <c r="L140" s="17"/>
      <c r="M140" s="17"/>
      <c r="N140" s="17"/>
      <c r="O140" s="17"/>
      <c r="P140" s="17"/>
      <c r="Q140" s="17"/>
      <c r="R140" s="17"/>
      <c r="S140" s="17"/>
      <c r="T140" s="17"/>
      <c r="U140" s="17"/>
      <c r="V140" s="17"/>
      <c r="W140" s="17"/>
      <c r="X140" s="17"/>
      <c r="Y140" s="17"/>
      <c r="Z140" s="17"/>
      <c r="AA140" s="17"/>
      <c r="AB140" s="17"/>
      <c r="AC140" s="17"/>
      <c r="AD140" s="15"/>
    </row>
    <row r="141" spans="1:30" ht="12.75" customHeight="1">
      <c r="A141" s="20"/>
      <c r="B141" s="20"/>
      <c r="C141" s="17"/>
      <c r="D141" s="18"/>
      <c r="E141" s="17"/>
      <c r="F141" s="17"/>
      <c r="G141" s="23"/>
      <c r="H141" s="17"/>
      <c r="I141" s="17"/>
      <c r="J141" s="33"/>
      <c r="K141" s="33"/>
      <c r="L141" s="17"/>
      <c r="M141" s="17"/>
      <c r="N141" s="17"/>
      <c r="O141" s="17"/>
      <c r="P141" s="17"/>
      <c r="Q141" s="17"/>
      <c r="R141" s="17"/>
      <c r="S141" s="17"/>
      <c r="T141" s="17"/>
      <c r="U141" s="17"/>
      <c r="V141" s="17"/>
      <c r="W141" s="17"/>
      <c r="X141" s="17"/>
      <c r="Y141" s="17"/>
      <c r="Z141" s="17"/>
      <c r="AA141" s="17"/>
      <c r="AB141" s="17"/>
      <c r="AC141" s="17"/>
      <c r="AD141" s="15"/>
    </row>
    <row r="142" spans="1:30" ht="12.75" customHeight="1">
      <c r="A142" s="20"/>
      <c r="B142" s="20"/>
      <c r="C142" s="17"/>
      <c r="D142" s="18"/>
      <c r="E142" s="17"/>
      <c r="F142" s="17"/>
      <c r="G142" s="23"/>
      <c r="H142" s="17"/>
      <c r="I142" s="17"/>
      <c r="J142" s="33"/>
      <c r="K142" s="33"/>
      <c r="L142" s="17"/>
      <c r="M142" s="17"/>
      <c r="N142" s="17"/>
      <c r="O142" s="17"/>
      <c r="P142" s="17"/>
      <c r="Q142" s="17"/>
      <c r="R142" s="17"/>
      <c r="S142" s="17"/>
      <c r="T142" s="17"/>
      <c r="U142" s="17"/>
      <c r="V142" s="17"/>
      <c r="W142" s="17"/>
      <c r="X142" s="17"/>
      <c r="Y142" s="17"/>
      <c r="Z142" s="17"/>
      <c r="AA142" s="17"/>
      <c r="AB142" s="17"/>
      <c r="AC142" s="17"/>
      <c r="AD142" s="15"/>
    </row>
    <row r="143" spans="1:30" ht="12.75" customHeight="1">
      <c r="A143" s="20"/>
      <c r="B143" s="20"/>
      <c r="C143" s="17"/>
      <c r="D143" s="18"/>
      <c r="E143" s="17"/>
      <c r="F143" s="17"/>
      <c r="G143" s="23"/>
      <c r="H143" s="17"/>
      <c r="I143" s="17"/>
      <c r="J143" s="33"/>
      <c r="K143" s="33"/>
      <c r="L143" s="17"/>
      <c r="M143" s="17"/>
      <c r="N143" s="17"/>
      <c r="O143" s="17"/>
      <c r="P143" s="17"/>
      <c r="Q143" s="17"/>
      <c r="R143" s="17"/>
      <c r="S143" s="17"/>
      <c r="T143" s="17"/>
      <c r="U143" s="17"/>
      <c r="V143" s="17"/>
      <c r="W143" s="17"/>
      <c r="X143" s="17"/>
      <c r="Y143" s="17"/>
      <c r="Z143" s="17"/>
      <c r="AA143" s="17"/>
      <c r="AB143" s="17"/>
      <c r="AC143" s="17"/>
      <c r="AD143" s="15"/>
    </row>
    <row r="144" spans="1:30" ht="12.75" customHeight="1">
      <c r="A144" s="20"/>
      <c r="B144" s="20"/>
      <c r="C144" s="17"/>
      <c r="D144" s="18"/>
      <c r="E144" s="17"/>
      <c r="F144" s="17"/>
      <c r="G144" s="23"/>
      <c r="H144" s="17"/>
      <c r="I144" s="17"/>
      <c r="J144" s="33"/>
      <c r="K144" s="33"/>
      <c r="L144" s="17"/>
      <c r="M144" s="17"/>
      <c r="N144" s="17"/>
      <c r="O144" s="17"/>
      <c r="P144" s="17"/>
      <c r="Q144" s="17"/>
      <c r="R144" s="17"/>
      <c r="S144" s="17"/>
      <c r="T144" s="17"/>
      <c r="U144" s="17"/>
      <c r="V144" s="17"/>
      <c r="W144" s="17"/>
      <c r="X144" s="17"/>
      <c r="Y144" s="17"/>
      <c r="Z144" s="17"/>
      <c r="AA144" s="17"/>
      <c r="AB144" s="17"/>
      <c r="AC144" s="17"/>
      <c r="AD144" s="15"/>
    </row>
    <row r="145" spans="1:30" ht="12.75" customHeight="1">
      <c r="A145" s="20"/>
      <c r="B145" s="20"/>
      <c r="C145" s="17"/>
      <c r="D145" s="18"/>
      <c r="E145" s="17"/>
      <c r="F145" s="17"/>
      <c r="G145" s="23"/>
      <c r="H145" s="17"/>
      <c r="I145" s="17"/>
      <c r="J145" s="33"/>
      <c r="K145" s="33"/>
      <c r="L145" s="17"/>
      <c r="M145" s="17"/>
      <c r="N145" s="17"/>
      <c r="O145" s="17"/>
      <c r="P145" s="17"/>
      <c r="Q145" s="17"/>
      <c r="R145" s="17"/>
      <c r="S145" s="17"/>
      <c r="T145" s="17"/>
      <c r="U145" s="17"/>
      <c r="V145" s="17"/>
      <c r="W145" s="17"/>
      <c r="X145" s="17"/>
      <c r="Y145" s="17"/>
      <c r="Z145" s="17"/>
      <c r="AA145" s="17"/>
      <c r="AB145" s="17"/>
      <c r="AC145" s="17"/>
      <c r="AD145" s="15"/>
    </row>
    <row r="146" spans="1:30" ht="12.75" customHeight="1">
      <c r="A146" s="20"/>
      <c r="B146" s="20"/>
      <c r="C146" s="17"/>
      <c r="D146" s="18"/>
      <c r="E146" s="17"/>
      <c r="F146" s="17"/>
      <c r="G146" s="23"/>
      <c r="H146" s="17"/>
      <c r="I146" s="17"/>
      <c r="J146" s="33"/>
      <c r="K146" s="33"/>
      <c r="L146" s="17"/>
      <c r="M146" s="17"/>
      <c r="N146" s="17"/>
      <c r="O146" s="17"/>
      <c r="P146" s="17"/>
      <c r="Q146" s="17"/>
      <c r="R146" s="17"/>
      <c r="S146" s="17"/>
      <c r="T146" s="17"/>
      <c r="U146" s="17"/>
      <c r="V146" s="17"/>
      <c r="W146" s="17"/>
      <c r="X146" s="17"/>
      <c r="Y146" s="17"/>
      <c r="Z146" s="17"/>
      <c r="AA146" s="17"/>
      <c r="AB146" s="17"/>
      <c r="AC146" s="17"/>
      <c r="AD146" s="15"/>
    </row>
    <row r="147" spans="1:30" ht="12.75" customHeight="1">
      <c r="A147" s="20"/>
      <c r="B147" s="20"/>
      <c r="C147" s="17"/>
      <c r="D147" s="17"/>
      <c r="E147" s="17"/>
      <c r="F147" s="17"/>
      <c r="G147" s="17"/>
      <c r="H147" s="17"/>
      <c r="I147" s="17"/>
      <c r="J147" s="33"/>
      <c r="K147" s="33"/>
      <c r="L147" s="17"/>
      <c r="M147" s="17"/>
      <c r="N147" s="17"/>
      <c r="O147" s="17"/>
      <c r="P147" s="17"/>
      <c r="Q147" s="17"/>
      <c r="R147" s="17"/>
      <c r="S147" s="17"/>
      <c r="T147" s="17"/>
      <c r="U147" s="17"/>
      <c r="V147" s="17"/>
      <c r="W147" s="17"/>
      <c r="X147" s="17"/>
      <c r="Y147" s="17"/>
      <c r="Z147" s="17"/>
      <c r="AA147" s="17"/>
      <c r="AB147" s="17"/>
      <c r="AC147" s="17"/>
      <c r="AD147" s="15"/>
    </row>
    <row r="148" spans="1:30" ht="12.75" customHeight="1">
      <c r="A148" s="20"/>
      <c r="B148" s="20"/>
      <c r="C148" s="17"/>
      <c r="D148" s="31"/>
      <c r="E148" s="25"/>
      <c r="F148" s="25"/>
      <c r="G148" s="25"/>
      <c r="H148" s="26"/>
      <c r="I148" s="26"/>
      <c r="J148" s="26"/>
      <c r="K148" s="26"/>
      <c r="L148" s="26"/>
      <c r="M148" s="26"/>
      <c r="N148" s="26"/>
      <c r="O148" s="26"/>
      <c r="P148" s="26"/>
      <c r="Q148" s="26"/>
      <c r="R148" s="26"/>
      <c r="S148" s="26"/>
      <c r="T148" s="26"/>
      <c r="U148" s="26"/>
      <c r="V148" s="26"/>
      <c r="W148" s="26"/>
      <c r="X148" s="26"/>
      <c r="Y148" s="26"/>
      <c r="Z148" s="26"/>
      <c r="AA148" s="26"/>
      <c r="AB148" s="17"/>
      <c r="AC148" s="17"/>
      <c r="AD148" s="15"/>
    </row>
    <row r="149" spans="1:30" ht="12.75" customHeight="1">
      <c r="A149" s="20"/>
      <c r="B149" s="20"/>
      <c r="C149" s="17"/>
      <c r="D149" s="25"/>
      <c r="E149" s="25"/>
      <c r="F149" s="25"/>
      <c r="G149" s="25"/>
      <c r="H149" s="26"/>
      <c r="I149" s="26"/>
      <c r="J149" s="26"/>
      <c r="K149" s="26"/>
      <c r="L149" s="26"/>
      <c r="M149" s="26"/>
      <c r="N149" s="26"/>
      <c r="O149" s="26"/>
      <c r="P149" s="26"/>
      <c r="Q149" s="26"/>
      <c r="R149" s="26"/>
      <c r="S149" s="26"/>
      <c r="T149" s="26"/>
      <c r="U149" s="26"/>
      <c r="V149" s="26"/>
      <c r="W149" s="26"/>
      <c r="X149" s="26"/>
      <c r="Y149" s="26"/>
      <c r="Z149" s="26"/>
      <c r="AA149" s="26"/>
      <c r="AB149" s="17"/>
      <c r="AC149" s="17"/>
      <c r="AD149" s="15"/>
    </row>
    <row r="150" spans="1:30" ht="12.75" customHeight="1">
      <c r="A150" s="20"/>
      <c r="B150" s="20"/>
      <c r="C150" s="17"/>
      <c r="D150" s="17"/>
      <c r="E150" s="12"/>
      <c r="F150" s="12"/>
      <c r="G150" s="25"/>
      <c r="H150" s="25"/>
      <c r="I150" s="25"/>
      <c r="J150" s="26"/>
      <c r="K150" s="26"/>
      <c r="L150" s="26"/>
      <c r="M150" s="26"/>
      <c r="N150" s="26"/>
      <c r="O150" s="26"/>
      <c r="P150" s="26"/>
      <c r="Q150" s="26"/>
      <c r="R150" s="26"/>
      <c r="S150" s="26"/>
      <c r="T150" s="26"/>
      <c r="U150" s="26"/>
      <c r="V150" s="26"/>
      <c r="W150" s="26"/>
      <c r="X150" s="26"/>
      <c r="Y150" s="26"/>
      <c r="Z150" s="26"/>
      <c r="AA150" s="26"/>
      <c r="AB150" s="17"/>
      <c r="AC150" s="17"/>
      <c r="AD150" s="15"/>
    </row>
    <row r="151" spans="1:30" ht="12.75" customHeight="1">
      <c r="A151" s="20"/>
      <c r="B151" s="20"/>
      <c r="C151" s="17"/>
      <c r="D151" s="25"/>
      <c r="E151" s="25"/>
      <c r="F151" s="25"/>
      <c r="G151" s="25"/>
      <c r="H151" s="26"/>
      <c r="I151" s="26"/>
      <c r="J151" s="26"/>
      <c r="K151" s="26"/>
      <c r="L151" s="26"/>
      <c r="M151" s="26"/>
      <c r="N151" s="26"/>
      <c r="O151" s="26"/>
      <c r="P151" s="26"/>
      <c r="Q151" s="26"/>
      <c r="R151" s="26"/>
      <c r="S151" s="26"/>
      <c r="T151" s="26"/>
      <c r="U151" s="26"/>
      <c r="V151" s="26"/>
      <c r="W151" s="26"/>
      <c r="X151" s="26"/>
      <c r="Y151" s="26"/>
      <c r="Z151" s="26"/>
      <c r="AA151" s="26"/>
      <c r="AB151" s="17"/>
      <c r="AC151" s="17"/>
      <c r="AD151" s="15"/>
    </row>
    <row r="152" spans="1:30" ht="12.75" customHeight="1">
      <c r="A152" s="20"/>
      <c r="B152" s="20"/>
      <c r="C152" s="17"/>
      <c r="D152" s="25"/>
      <c r="E152" s="25"/>
      <c r="F152" s="25"/>
      <c r="G152" s="25"/>
      <c r="H152" s="26"/>
      <c r="I152" s="26"/>
      <c r="J152" s="26"/>
      <c r="K152" s="26"/>
      <c r="L152" s="26"/>
      <c r="M152" s="26"/>
      <c r="N152" s="26"/>
      <c r="O152" s="26"/>
      <c r="P152" s="26"/>
      <c r="Q152" s="26"/>
      <c r="R152" s="26"/>
      <c r="S152" s="26"/>
      <c r="T152" s="26"/>
      <c r="U152" s="26"/>
      <c r="V152" s="26"/>
      <c r="W152" s="26"/>
      <c r="X152" s="26"/>
      <c r="Y152" s="26"/>
      <c r="Z152" s="26"/>
      <c r="AA152" s="26"/>
      <c r="AB152" s="17"/>
      <c r="AC152" s="17"/>
      <c r="AD152" s="15"/>
    </row>
    <row r="153" spans="1:30" ht="12.75" customHeight="1">
      <c r="A153" s="20"/>
      <c r="B153" s="20"/>
      <c r="C153" s="17"/>
      <c r="D153" s="25"/>
      <c r="E153" s="25"/>
      <c r="F153" s="25"/>
      <c r="G153" s="25"/>
      <c r="H153" s="26"/>
      <c r="I153" s="26"/>
      <c r="J153" s="26"/>
      <c r="K153" s="26"/>
      <c r="L153" s="26"/>
      <c r="M153" s="26"/>
      <c r="N153" s="26"/>
      <c r="O153" s="26"/>
      <c r="P153" s="26"/>
      <c r="Q153" s="26"/>
      <c r="R153" s="26"/>
      <c r="S153" s="26"/>
      <c r="T153" s="26"/>
      <c r="U153" s="26"/>
      <c r="V153" s="26"/>
      <c r="W153" s="26"/>
      <c r="X153" s="26"/>
      <c r="Y153" s="26"/>
      <c r="Z153" s="26"/>
      <c r="AA153" s="26"/>
      <c r="AB153" s="17"/>
      <c r="AC153" s="17"/>
      <c r="AD153" s="15"/>
    </row>
    <row r="154" spans="1:30" ht="12.75" customHeight="1">
      <c r="A154" s="20"/>
      <c r="B154" s="20"/>
      <c r="C154" s="17"/>
      <c r="D154" s="24"/>
      <c r="E154" s="25"/>
      <c r="F154" s="25"/>
      <c r="G154" s="17"/>
      <c r="H154" s="25"/>
      <c r="I154" s="25"/>
      <c r="J154" s="26"/>
      <c r="K154" s="26"/>
      <c r="L154" s="26"/>
      <c r="M154" s="26"/>
      <c r="N154" s="26"/>
      <c r="O154" s="26"/>
      <c r="P154" s="26"/>
      <c r="Q154" s="26"/>
      <c r="R154" s="26"/>
      <c r="S154" s="26"/>
      <c r="T154" s="26"/>
      <c r="U154" s="26"/>
      <c r="V154" s="26"/>
      <c r="W154" s="26"/>
      <c r="X154" s="26"/>
      <c r="Y154" s="26"/>
      <c r="Z154" s="26"/>
      <c r="AA154" s="26"/>
      <c r="AB154" s="17"/>
      <c r="AC154" s="17"/>
      <c r="AD154" s="15"/>
    </row>
    <row r="155" spans="1:30" ht="12.75" customHeight="1">
      <c r="A155" s="20"/>
      <c r="B155" s="20"/>
      <c r="C155" s="17"/>
      <c r="D155" s="17"/>
      <c r="E155" s="25"/>
      <c r="F155" s="25"/>
      <c r="G155" s="17"/>
      <c r="H155" s="26"/>
      <c r="I155" s="26"/>
      <c r="J155" s="26"/>
      <c r="K155" s="26"/>
      <c r="L155" s="26"/>
      <c r="M155" s="26"/>
      <c r="N155" s="26"/>
      <c r="O155" s="26"/>
      <c r="P155" s="26"/>
      <c r="Q155" s="26"/>
      <c r="R155" s="26"/>
      <c r="S155" s="26"/>
      <c r="T155" s="26"/>
      <c r="U155" s="26"/>
      <c r="V155" s="26"/>
      <c r="W155" s="26"/>
      <c r="X155" s="26"/>
      <c r="Y155" s="26"/>
      <c r="Z155" s="26"/>
      <c r="AA155" s="26"/>
      <c r="AB155" s="17"/>
      <c r="AC155" s="17"/>
      <c r="AD155" s="15"/>
    </row>
    <row r="156" spans="1:30" ht="12.75" customHeight="1">
      <c r="A156" s="20"/>
      <c r="B156" s="20"/>
      <c r="C156" s="17"/>
      <c r="D156" s="25"/>
      <c r="E156" s="25"/>
      <c r="F156" s="25"/>
      <c r="G156" s="25"/>
      <c r="H156" s="26"/>
      <c r="I156" s="26"/>
      <c r="J156" s="26"/>
      <c r="K156" s="26"/>
      <c r="L156" s="26"/>
      <c r="M156" s="26"/>
      <c r="N156" s="26"/>
      <c r="O156" s="26"/>
      <c r="P156" s="26"/>
      <c r="Q156" s="26"/>
      <c r="R156" s="26"/>
      <c r="S156" s="26"/>
      <c r="T156" s="26"/>
      <c r="U156" s="26"/>
      <c r="V156" s="26"/>
      <c r="W156" s="26"/>
      <c r="X156" s="26"/>
      <c r="Y156" s="26"/>
      <c r="Z156" s="26"/>
      <c r="AA156" s="26"/>
      <c r="AB156" s="17"/>
      <c r="AC156" s="17"/>
      <c r="AD156" s="15"/>
    </row>
    <row r="157" spans="1:30" ht="12.75" customHeight="1">
      <c r="A157" s="20"/>
      <c r="B157" s="20"/>
      <c r="C157" s="17"/>
      <c r="D157" s="25"/>
      <c r="E157" s="25"/>
      <c r="F157" s="25"/>
      <c r="G157" s="25"/>
      <c r="H157" s="25"/>
      <c r="I157" s="25"/>
      <c r="J157" s="26"/>
      <c r="K157" s="26"/>
      <c r="L157" s="26"/>
      <c r="M157" s="26"/>
      <c r="N157" s="26"/>
      <c r="O157" s="26"/>
      <c r="P157" s="26"/>
      <c r="Q157" s="26"/>
      <c r="R157" s="26"/>
      <c r="S157" s="26"/>
      <c r="T157" s="26"/>
      <c r="U157" s="26"/>
      <c r="V157" s="26"/>
      <c r="W157" s="26"/>
      <c r="X157" s="26"/>
      <c r="Y157" s="26"/>
      <c r="Z157" s="26"/>
      <c r="AA157" s="26"/>
      <c r="AB157" s="17"/>
      <c r="AC157" s="17"/>
      <c r="AD157" s="15"/>
    </row>
    <row r="158" spans="1:30" ht="12.75" customHeight="1">
      <c r="A158" s="20"/>
      <c r="B158" s="20"/>
      <c r="C158" s="17"/>
      <c r="D158" s="25"/>
      <c r="E158" s="25"/>
      <c r="F158" s="25"/>
      <c r="G158" s="25"/>
      <c r="H158" s="25"/>
      <c r="I158" s="25"/>
      <c r="J158" s="26"/>
      <c r="K158" s="26"/>
      <c r="L158" s="26"/>
      <c r="M158" s="26"/>
      <c r="N158" s="26"/>
      <c r="O158" s="26"/>
      <c r="P158" s="26"/>
      <c r="Q158" s="26"/>
      <c r="R158" s="26"/>
      <c r="S158" s="26"/>
      <c r="T158" s="26"/>
      <c r="U158" s="26"/>
      <c r="V158" s="26"/>
      <c r="W158" s="26"/>
      <c r="X158" s="26"/>
      <c r="Y158" s="26"/>
      <c r="Z158" s="26"/>
      <c r="AA158" s="26"/>
      <c r="AB158" s="26"/>
      <c r="AC158" s="26"/>
      <c r="AD158" s="15"/>
    </row>
    <row r="159" spans="1:30" ht="12.75" customHeight="1">
      <c r="A159" s="20"/>
      <c r="C159" s="17"/>
      <c r="D159" s="12"/>
      <c r="E159" s="12"/>
      <c r="F159" s="12"/>
      <c r="G159" s="12"/>
      <c r="H159" s="26"/>
      <c r="I159" s="26"/>
      <c r="J159" s="26"/>
      <c r="K159" s="26"/>
      <c r="L159" s="26"/>
      <c r="M159" s="26"/>
      <c r="N159" s="26"/>
      <c r="O159" s="26"/>
      <c r="P159" s="26"/>
      <c r="Q159" s="26"/>
      <c r="R159" s="26"/>
      <c r="S159" s="26"/>
      <c r="T159" s="26"/>
      <c r="U159" s="26"/>
      <c r="V159" s="26"/>
      <c r="W159" s="26"/>
      <c r="X159" s="26"/>
      <c r="Y159" s="26"/>
      <c r="Z159" s="26"/>
      <c r="AA159" s="26"/>
      <c r="AB159" s="26"/>
      <c r="AC159" s="26"/>
      <c r="AD159" s="15"/>
    </row>
    <row r="160" spans="3:30" ht="12.75" customHeight="1">
      <c r="C160" s="17"/>
      <c r="D160" s="31"/>
      <c r="E160" s="25"/>
      <c r="F160" s="25"/>
      <c r="G160" s="25"/>
      <c r="H160" s="26"/>
      <c r="I160" s="26"/>
      <c r="J160" s="26"/>
      <c r="K160" s="26"/>
      <c r="L160" s="26"/>
      <c r="M160" s="26"/>
      <c r="N160" s="26"/>
      <c r="O160" s="26"/>
      <c r="P160" s="26"/>
      <c r="Q160" s="26"/>
      <c r="R160" s="26"/>
      <c r="S160" s="26"/>
      <c r="T160" s="26"/>
      <c r="U160" s="26"/>
      <c r="V160" s="26"/>
      <c r="W160" s="26"/>
      <c r="X160" s="26"/>
      <c r="Y160" s="26"/>
      <c r="Z160" s="26"/>
      <c r="AA160" s="26"/>
      <c r="AB160" s="26"/>
      <c r="AC160" s="26"/>
      <c r="AD160" s="15"/>
    </row>
    <row r="161" spans="3:30" ht="12.75" customHeight="1">
      <c r="C161" s="17"/>
      <c r="D161" s="25"/>
      <c r="E161" s="25"/>
      <c r="F161" s="25"/>
      <c r="G161" s="25"/>
      <c r="H161" s="26"/>
      <c r="I161" s="26"/>
      <c r="J161" s="26"/>
      <c r="K161" s="26"/>
      <c r="L161" s="26"/>
      <c r="M161" s="26"/>
      <c r="N161" s="26"/>
      <c r="O161" s="26"/>
      <c r="P161" s="26"/>
      <c r="Q161" s="26"/>
      <c r="R161" s="26"/>
      <c r="S161" s="26"/>
      <c r="T161" s="26"/>
      <c r="U161" s="26"/>
      <c r="V161" s="26"/>
      <c r="W161" s="26"/>
      <c r="X161" s="26"/>
      <c r="Y161" s="26"/>
      <c r="Z161" s="26"/>
      <c r="AA161" s="26"/>
      <c r="AB161" s="26"/>
      <c r="AC161" s="26"/>
      <c r="AD161" s="15"/>
    </row>
    <row r="162" spans="3:30" ht="12.75">
      <c r="C162" s="17"/>
      <c r="D162" s="25"/>
      <c r="E162" s="25"/>
      <c r="F162" s="25"/>
      <c r="G162" s="25"/>
      <c r="H162" s="25"/>
      <c r="I162" s="25"/>
      <c r="J162" s="26"/>
      <c r="K162" s="26"/>
      <c r="L162" s="26"/>
      <c r="M162" s="26"/>
      <c r="N162" s="26"/>
      <c r="O162" s="26"/>
      <c r="P162" s="26"/>
      <c r="Q162" s="26"/>
      <c r="R162" s="26"/>
      <c r="S162" s="26"/>
      <c r="T162" s="26"/>
      <c r="U162" s="26"/>
      <c r="V162" s="26"/>
      <c r="W162" s="26"/>
      <c r="X162" s="26"/>
      <c r="Y162" s="26"/>
      <c r="Z162" s="26"/>
      <c r="AA162" s="26"/>
      <c r="AB162" s="26"/>
      <c r="AC162" s="26"/>
      <c r="AD162" s="15"/>
    </row>
    <row r="163" spans="3:30" ht="12.75">
      <c r="C163" s="17"/>
      <c r="D163" s="25"/>
      <c r="E163" s="25"/>
      <c r="F163" s="25"/>
      <c r="G163" s="25"/>
      <c r="H163" s="25"/>
      <c r="I163" s="25"/>
      <c r="J163" s="26"/>
      <c r="K163" s="26"/>
      <c r="L163" s="26"/>
      <c r="M163" s="26"/>
      <c r="N163" s="26"/>
      <c r="O163" s="26"/>
      <c r="P163" s="26"/>
      <c r="Q163" s="26"/>
      <c r="R163" s="26"/>
      <c r="S163" s="26"/>
      <c r="T163" s="26"/>
      <c r="U163" s="26"/>
      <c r="V163" s="26"/>
      <c r="W163" s="26"/>
      <c r="X163" s="26"/>
      <c r="Y163" s="26"/>
      <c r="Z163" s="26"/>
      <c r="AA163" s="26"/>
      <c r="AB163" s="26"/>
      <c r="AC163" s="26"/>
      <c r="AD163" s="15"/>
    </row>
    <row r="164" spans="3:30" ht="12.75">
      <c r="C164" s="17"/>
      <c r="D164" s="25"/>
      <c r="E164" s="25"/>
      <c r="F164" s="25"/>
      <c r="G164" s="25"/>
      <c r="H164" s="26"/>
      <c r="I164" s="26"/>
      <c r="J164" s="26"/>
      <c r="K164" s="26"/>
      <c r="L164" s="26"/>
      <c r="M164" s="26"/>
      <c r="N164" s="26"/>
      <c r="O164" s="26"/>
      <c r="P164" s="26"/>
      <c r="Q164" s="26"/>
      <c r="R164" s="26"/>
      <c r="S164" s="26"/>
      <c r="T164" s="26"/>
      <c r="U164" s="26"/>
      <c r="V164" s="26"/>
      <c r="W164" s="26"/>
      <c r="X164" s="26"/>
      <c r="Y164" s="26"/>
      <c r="Z164" s="26"/>
      <c r="AA164" s="26"/>
      <c r="AB164" s="26"/>
      <c r="AC164" s="26"/>
      <c r="AD164" s="15"/>
    </row>
    <row r="165" spans="3:30" ht="12.75">
      <c r="C165" s="17"/>
      <c r="D165" s="18"/>
      <c r="E165" s="25"/>
      <c r="F165" s="25"/>
      <c r="G165" s="23"/>
      <c r="H165" s="26"/>
      <c r="I165" s="26"/>
      <c r="J165" s="26"/>
      <c r="K165" s="26"/>
      <c r="L165" s="26"/>
      <c r="M165" s="26"/>
      <c r="N165" s="26"/>
      <c r="O165" s="26"/>
      <c r="P165" s="26"/>
      <c r="Q165" s="26"/>
      <c r="R165" s="26"/>
      <c r="S165" s="26"/>
      <c r="T165" s="26"/>
      <c r="U165" s="26"/>
      <c r="V165" s="26"/>
      <c r="W165" s="26"/>
      <c r="X165" s="26"/>
      <c r="Y165" s="26"/>
      <c r="Z165" s="26"/>
      <c r="AA165" s="26"/>
      <c r="AB165" s="26"/>
      <c r="AC165" s="26"/>
      <c r="AD165" s="15"/>
    </row>
    <row r="166" spans="3:30" ht="12.75">
      <c r="C166" s="17"/>
      <c r="D166" s="25"/>
      <c r="E166" s="12"/>
      <c r="F166" s="12"/>
      <c r="G166" s="25"/>
      <c r="H166" s="26"/>
      <c r="I166" s="26"/>
      <c r="J166" s="26"/>
      <c r="K166" s="26"/>
      <c r="L166" s="26"/>
      <c r="M166" s="26"/>
      <c r="N166" s="26"/>
      <c r="O166" s="26"/>
      <c r="P166" s="26"/>
      <c r="Q166" s="26"/>
      <c r="R166" s="26"/>
      <c r="S166" s="26"/>
      <c r="T166" s="26"/>
      <c r="U166" s="26"/>
      <c r="V166" s="26"/>
      <c r="W166" s="26"/>
      <c r="X166" s="26"/>
      <c r="Y166" s="26"/>
      <c r="Z166" s="26"/>
      <c r="AA166" s="26"/>
      <c r="AB166" s="26"/>
      <c r="AC166" s="26"/>
      <c r="AD166" s="15"/>
    </row>
    <row r="167" spans="3:30" ht="12.75">
      <c r="C167" s="17"/>
      <c r="D167" s="18"/>
      <c r="E167" s="25"/>
      <c r="F167" s="25"/>
      <c r="G167" s="23"/>
      <c r="H167" s="26"/>
      <c r="I167" s="26"/>
      <c r="J167" s="26"/>
      <c r="K167" s="26"/>
      <c r="L167" s="26"/>
      <c r="M167" s="26"/>
      <c r="N167" s="26"/>
      <c r="O167" s="26"/>
      <c r="P167" s="26"/>
      <c r="Q167" s="26"/>
      <c r="R167" s="26"/>
      <c r="S167" s="26"/>
      <c r="T167" s="26"/>
      <c r="U167" s="26"/>
      <c r="V167" s="26"/>
      <c r="W167" s="26"/>
      <c r="X167" s="26"/>
      <c r="Y167" s="26"/>
      <c r="Z167" s="26"/>
      <c r="AA167" s="26"/>
      <c r="AB167" s="26"/>
      <c r="AC167" s="26"/>
      <c r="AD167" s="15"/>
    </row>
    <row r="168" spans="3:30" ht="12.75">
      <c r="C168" s="12"/>
      <c r="D168" s="18"/>
      <c r="E168" s="31"/>
      <c r="F168" s="31"/>
      <c r="G168" s="34"/>
      <c r="H168" s="25"/>
      <c r="I168" s="25"/>
      <c r="J168" s="12"/>
      <c r="K168" s="12"/>
      <c r="L168" s="12"/>
      <c r="M168" s="12"/>
      <c r="N168" s="12"/>
      <c r="O168" s="12"/>
      <c r="P168" s="12"/>
      <c r="Q168" s="12"/>
      <c r="R168" s="12"/>
      <c r="S168" s="12"/>
      <c r="T168" s="12"/>
      <c r="U168" s="12"/>
      <c r="V168" s="12"/>
      <c r="W168" s="12"/>
      <c r="X168" s="12"/>
      <c r="Y168" s="12"/>
      <c r="Z168" s="12"/>
      <c r="AA168" s="12"/>
      <c r="AB168" s="26"/>
      <c r="AC168" s="26"/>
      <c r="AD168" s="15"/>
    </row>
    <row r="169" spans="3:30" ht="12.75">
      <c r="C169" s="12"/>
      <c r="D169" s="12"/>
      <c r="E169" s="12"/>
      <c r="F169" s="12"/>
      <c r="G169" s="12"/>
      <c r="H169" s="26"/>
      <c r="I169" s="26"/>
      <c r="J169" s="26"/>
      <c r="K169" s="26"/>
      <c r="L169" s="26"/>
      <c r="M169" s="26"/>
      <c r="N169" s="26"/>
      <c r="O169" s="26"/>
      <c r="P169" s="26"/>
      <c r="Q169" s="26"/>
      <c r="R169" s="26"/>
      <c r="S169" s="26"/>
      <c r="T169" s="26"/>
      <c r="U169" s="26"/>
      <c r="V169" s="26"/>
      <c r="W169" s="26"/>
      <c r="X169" s="26"/>
      <c r="Y169" s="26"/>
      <c r="Z169" s="26"/>
      <c r="AA169" s="26"/>
      <c r="AB169" s="26"/>
      <c r="AC169" s="26"/>
      <c r="AD169" s="15"/>
    </row>
    <row r="170" spans="3:30" ht="12.75">
      <c r="C170" s="12"/>
      <c r="D170" s="31"/>
      <c r="E170" s="25"/>
      <c r="F170" s="25"/>
      <c r="G170" s="25"/>
      <c r="H170" s="26"/>
      <c r="I170" s="26"/>
      <c r="J170" s="26"/>
      <c r="K170" s="26"/>
      <c r="L170" s="26"/>
      <c r="M170" s="26"/>
      <c r="N170" s="26"/>
      <c r="O170" s="26"/>
      <c r="P170" s="26"/>
      <c r="Q170" s="26"/>
      <c r="R170" s="26"/>
      <c r="S170" s="26"/>
      <c r="T170" s="26"/>
      <c r="U170" s="26"/>
      <c r="V170" s="26"/>
      <c r="W170" s="26"/>
      <c r="X170" s="26"/>
      <c r="Y170" s="26"/>
      <c r="Z170" s="26"/>
      <c r="AA170" s="26"/>
      <c r="AB170" s="26"/>
      <c r="AC170" s="26"/>
      <c r="AD170" s="15"/>
    </row>
    <row r="171" spans="3:30" ht="12.75">
      <c r="C171" s="12"/>
      <c r="D171" s="25"/>
      <c r="E171" s="26"/>
      <c r="F171" s="26"/>
      <c r="G171" s="25"/>
      <c r="H171" s="26"/>
      <c r="I171" s="26"/>
      <c r="J171" s="26"/>
      <c r="K171" s="26"/>
      <c r="L171" s="26"/>
      <c r="M171" s="26"/>
      <c r="N171" s="26"/>
      <c r="O171" s="26"/>
      <c r="P171" s="26"/>
      <c r="Q171" s="26"/>
      <c r="R171" s="26"/>
      <c r="S171" s="26"/>
      <c r="T171" s="26"/>
      <c r="U171" s="26"/>
      <c r="V171" s="26"/>
      <c r="W171" s="26"/>
      <c r="X171" s="26"/>
      <c r="Y171" s="26"/>
      <c r="Z171" s="26"/>
      <c r="AA171" s="26"/>
      <c r="AB171" s="26"/>
      <c r="AC171" s="26"/>
      <c r="AD171" s="15"/>
    </row>
    <row r="172" spans="3:30" ht="12.75">
      <c r="C172" s="12"/>
      <c r="D172" s="25"/>
      <c r="E172" s="26"/>
      <c r="F172" s="26"/>
      <c r="G172" s="25"/>
      <c r="H172" s="12"/>
      <c r="I172" s="12"/>
      <c r="J172" s="26"/>
      <c r="K172" s="26"/>
      <c r="L172" s="12"/>
      <c r="M172" s="12"/>
      <c r="N172" s="12"/>
      <c r="O172" s="12"/>
      <c r="P172" s="12"/>
      <c r="Q172" s="12"/>
      <c r="R172" s="12"/>
      <c r="S172" s="12"/>
      <c r="T172" s="12"/>
      <c r="U172" s="12"/>
      <c r="V172" s="12"/>
      <c r="W172" s="12"/>
      <c r="X172" s="12"/>
      <c r="Y172" s="12"/>
      <c r="Z172" s="12"/>
      <c r="AA172" s="12"/>
      <c r="AB172" s="26"/>
      <c r="AC172" s="26"/>
      <c r="AD172" s="15"/>
    </row>
    <row r="173" spans="3:30" ht="12.75">
      <c r="C173" s="12"/>
      <c r="D173" s="25"/>
      <c r="E173" s="26"/>
      <c r="F173" s="26"/>
      <c r="G173" s="25"/>
      <c r="H173" s="25"/>
      <c r="I173" s="25"/>
      <c r="J173" s="26"/>
      <c r="K173" s="26"/>
      <c r="L173" s="26"/>
      <c r="M173" s="26"/>
      <c r="N173" s="26"/>
      <c r="O173" s="26"/>
      <c r="P173" s="26"/>
      <c r="Q173" s="26"/>
      <c r="R173" s="26"/>
      <c r="S173" s="26"/>
      <c r="T173" s="26"/>
      <c r="U173" s="26"/>
      <c r="V173" s="26"/>
      <c r="W173" s="26"/>
      <c r="X173" s="26"/>
      <c r="Y173" s="26"/>
      <c r="Z173" s="26"/>
      <c r="AA173" s="26"/>
      <c r="AB173" s="26"/>
      <c r="AC173" s="26"/>
      <c r="AD173" s="15"/>
    </row>
    <row r="174" spans="3:30" ht="12.75">
      <c r="C174" s="12"/>
      <c r="D174" s="25"/>
      <c r="E174" s="26"/>
      <c r="F174" s="26"/>
      <c r="G174" s="25"/>
      <c r="H174" s="26"/>
      <c r="I174" s="26"/>
      <c r="J174" s="26"/>
      <c r="K174" s="26"/>
      <c r="L174" s="26"/>
      <c r="M174" s="26"/>
      <c r="N174" s="26"/>
      <c r="O174" s="26"/>
      <c r="P174" s="26"/>
      <c r="Q174" s="26"/>
      <c r="R174" s="26"/>
      <c r="S174" s="26"/>
      <c r="T174" s="26"/>
      <c r="U174" s="26"/>
      <c r="V174" s="26"/>
      <c r="W174" s="26"/>
      <c r="X174" s="26"/>
      <c r="Y174" s="26"/>
      <c r="Z174" s="26"/>
      <c r="AA174" s="26"/>
      <c r="AB174" s="26"/>
      <c r="AC174" s="26"/>
      <c r="AD174" s="15"/>
    </row>
    <row r="175" spans="3:30" ht="12.75">
      <c r="C175" s="12"/>
      <c r="D175" s="25"/>
      <c r="E175" s="26"/>
      <c r="F175" s="26"/>
      <c r="G175" s="25"/>
      <c r="H175" s="26"/>
      <c r="I175" s="26"/>
      <c r="J175" s="26"/>
      <c r="K175" s="26"/>
      <c r="L175" s="26"/>
      <c r="M175" s="26"/>
      <c r="N175" s="26"/>
      <c r="O175" s="26"/>
      <c r="P175" s="26"/>
      <c r="Q175" s="26"/>
      <c r="R175" s="26"/>
      <c r="S175" s="26"/>
      <c r="T175" s="26"/>
      <c r="U175" s="26"/>
      <c r="V175" s="26"/>
      <c r="W175" s="26"/>
      <c r="X175" s="26"/>
      <c r="Y175" s="26"/>
      <c r="Z175" s="26"/>
      <c r="AA175" s="26"/>
      <c r="AB175" s="26"/>
      <c r="AC175" s="26"/>
      <c r="AD175" s="15"/>
    </row>
    <row r="176" spans="3:30" ht="12.75">
      <c r="C176" s="12"/>
      <c r="D176" s="25"/>
      <c r="E176" s="26"/>
      <c r="F176" s="26"/>
      <c r="G176" s="25"/>
      <c r="H176" s="26"/>
      <c r="I176" s="26"/>
      <c r="J176" s="26"/>
      <c r="K176" s="26"/>
      <c r="L176" s="26"/>
      <c r="M176" s="26"/>
      <c r="N176" s="26"/>
      <c r="O176" s="26"/>
      <c r="P176" s="26"/>
      <c r="Q176" s="26"/>
      <c r="R176" s="26"/>
      <c r="S176" s="26"/>
      <c r="T176" s="26"/>
      <c r="U176" s="26"/>
      <c r="V176" s="26"/>
      <c r="W176" s="26"/>
      <c r="X176" s="26"/>
      <c r="Y176" s="26"/>
      <c r="Z176" s="26"/>
      <c r="AA176" s="26"/>
      <c r="AB176" s="26"/>
      <c r="AC176" s="26"/>
      <c r="AD176" s="15"/>
    </row>
    <row r="177" spans="3:30" ht="12.75">
      <c r="C177" s="12"/>
      <c r="D177" s="25"/>
      <c r="E177" s="26"/>
      <c r="F177" s="26"/>
      <c r="G177" s="25"/>
      <c r="H177" s="26"/>
      <c r="I177" s="26"/>
      <c r="J177" s="26"/>
      <c r="K177" s="26"/>
      <c r="L177" s="26"/>
      <c r="M177" s="26"/>
      <c r="N177" s="26"/>
      <c r="O177" s="26"/>
      <c r="P177" s="26"/>
      <c r="Q177" s="26"/>
      <c r="R177" s="26"/>
      <c r="S177" s="26"/>
      <c r="T177" s="26"/>
      <c r="U177" s="26"/>
      <c r="V177" s="26"/>
      <c r="W177" s="26"/>
      <c r="X177" s="26"/>
      <c r="Y177" s="26"/>
      <c r="Z177" s="26"/>
      <c r="AA177" s="26"/>
      <c r="AB177" s="26"/>
      <c r="AC177" s="26"/>
      <c r="AD177" s="15"/>
    </row>
    <row r="178" spans="3:30" ht="12.75">
      <c r="C178" s="12"/>
      <c r="D178" s="25"/>
      <c r="E178" s="26"/>
      <c r="F178" s="26"/>
      <c r="G178" s="25"/>
      <c r="H178" s="26"/>
      <c r="I178" s="26"/>
      <c r="J178" s="26"/>
      <c r="K178" s="26"/>
      <c r="L178" s="26"/>
      <c r="M178" s="26"/>
      <c r="N178" s="26"/>
      <c r="O178" s="26"/>
      <c r="P178" s="26"/>
      <c r="Q178" s="26"/>
      <c r="R178" s="26"/>
      <c r="S178" s="26"/>
      <c r="T178" s="26"/>
      <c r="U178" s="26"/>
      <c r="V178" s="26"/>
      <c r="W178" s="26"/>
      <c r="X178" s="26"/>
      <c r="Y178" s="26"/>
      <c r="Z178" s="26"/>
      <c r="AA178" s="26"/>
      <c r="AB178" s="12"/>
      <c r="AC178" s="12"/>
      <c r="AD178" s="15"/>
    </row>
    <row r="179" spans="3:30" ht="12.75">
      <c r="C179" s="12"/>
      <c r="D179" s="12"/>
      <c r="E179" s="12"/>
      <c r="F179" s="12"/>
      <c r="G179" s="12"/>
      <c r="H179" s="26"/>
      <c r="I179" s="26"/>
      <c r="J179" s="26"/>
      <c r="K179" s="26"/>
      <c r="L179" s="26"/>
      <c r="M179" s="26"/>
      <c r="N179" s="26"/>
      <c r="O179" s="26"/>
      <c r="P179" s="26"/>
      <c r="Q179" s="26"/>
      <c r="R179" s="26"/>
      <c r="S179" s="26"/>
      <c r="T179" s="26"/>
      <c r="U179" s="26"/>
      <c r="V179" s="26"/>
      <c r="W179" s="26"/>
      <c r="X179" s="26"/>
      <c r="Y179" s="26"/>
      <c r="Z179" s="26"/>
      <c r="AA179" s="26"/>
      <c r="AB179" s="26"/>
      <c r="AC179" s="26"/>
      <c r="AD179" s="15"/>
    </row>
    <row r="180" spans="3:30" ht="12.75">
      <c r="C180" s="12"/>
      <c r="D180" s="12"/>
      <c r="E180" s="12"/>
      <c r="F180" s="12"/>
      <c r="G180" s="12"/>
      <c r="H180" s="26"/>
      <c r="I180" s="26"/>
      <c r="J180" s="26"/>
      <c r="K180" s="26"/>
      <c r="L180" s="26"/>
      <c r="M180" s="26"/>
      <c r="N180" s="26"/>
      <c r="O180" s="26"/>
      <c r="P180" s="26"/>
      <c r="Q180" s="26"/>
      <c r="R180" s="26"/>
      <c r="S180" s="26"/>
      <c r="T180" s="26"/>
      <c r="U180" s="26"/>
      <c r="V180" s="26"/>
      <c r="W180" s="26"/>
      <c r="X180" s="26"/>
      <c r="Y180" s="26"/>
      <c r="Z180" s="26"/>
      <c r="AA180" s="26"/>
      <c r="AB180" s="26"/>
      <c r="AC180" s="26"/>
      <c r="AD180" s="15"/>
    </row>
    <row r="181" spans="3:30" ht="12.75">
      <c r="C181" s="12"/>
      <c r="D181" s="12"/>
      <c r="E181" s="12"/>
      <c r="F181" s="12"/>
      <c r="G181" s="12"/>
      <c r="H181" s="26"/>
      <c r="I181" s="26"/>
      <c r="J181" s="26"/>
      <c r="K181" s="26"/>
      <c r="L181" s="26"/>
      <c r="M181" s="26"/>
      <c r="N181" s="26"/>
      <c r="O181" s="26"/>
      <c r="P181" s="26"/>
      <c r="Q181" s="26"/>
      <c r="R181" s="26"/>
      <c r="S181" s="26"/>
      <c r="T181" s="26"/>
      <c r="U181" s="26"/>
      <c r="V181" s="26"/>
      <c r="W181" s="26"/>
      <c r="X181" s="26"/>
      <c r="Y181" s="26"/>
      <c r="Z181" s="26"/>
      <c r="AA181" s="26"/>
      <c r="AB181" s="26"/>
      <c r="AC181" s="26"/>
      <c r="AD181" s="15"/>
    </row>
    <row r="182" spans="3:30" ht="12.75">
      <c r="C182" s="12"/>
      <c r="D182" s="12"/>
      <c r="E182" s="12"/>
      <c r="F182" s="12"/>
      <c r="G182" s="12"/>
      <c r="H182" s="26"/>
      <c r="I182" s="26"/>
      <c r="J182" s="26"/>
      <c r="K182" s="26"/>
      <c r="L182" s="26"/>
      <c r="M182" s="26"/>
      <c r="N182" s="26"/>
      <c r="O182" s="26"/>
      <c r="P182" s="26"/>
      <c r="Q182" s="26"/>
      <c r="R182" s="26"/>
      <c r="S182" s="26"/>
      <c r="T182" s="26"/>
      <c r="U182" s="26"/>
      <c r="V182" s="26"/>
      <c r="W182" s="26"/>
      <c r="X182" s="26"/>
      <c r="Y182" s="26"/>
      <c r="Z182" s="26"/>
      <c r="AA182" s="26"/>
      <c r="AB182" s="12"/>
      <c r="AC182" s="12"/>
      <c r="AD182" s="15"/>
    </row>
    <row r="183" spans="3:30" ht="12.75">
      <c r="C183" s="12"/>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15"/>
    </row>
    <row r="184" spans="3:30" ht="12.75">
      <c r="C184" s="12"/>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15"/>
    </row>
    <row r="185" spans="3:30" ht="12.75">
      <c r="C185" s="12"/>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15"/>
    </row>
    <row r="186" spans="3:30" ht="12.75">
      <c r="C186" s="12"/>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15"/>
    </row>
    <row r="187" spans="3:30" ht="12.75">
      <c r="C187" s="12"/>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15"/>
    </row>
    <row r="188" spans="3:30" ht="12.75">
      <c r="C188" s="12"/>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15"/>
    </row>
    <row r="189" spans="3:30" ht="12.75">
      <c r="C189" s="12"/>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15"/>
    </row>
    <row r="190" spans="3:30" ht="12.75">
      <c r="C190" s="12"/>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15"/>
    </row>
    <row r="191" spans="3:30" ht="12.75">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26"/>
      <c r="AC191" s="26"/>
      <c r="AD191" s="15"/>
    </row>
    <row r="192" spans="3:30" ht="12.75">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26"/>
      <c r="AC192" s="26"/>
      <c r="AD192" s="15"/>
    </row>
    <row r="193" spans="3:30" ht="12.75">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26"/>
      <c r="AC193" s="26"/>
      <c r="AD193" s="15"/>
    </row>
    <row r="194" spans="3:30" ht="12.75">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26"/>
      <c r="AC194" s="26"/>
      <c r="AD194" s="15"/>
    </row>
    <row r="195" spans="3:30" ht="12.75">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26"/>
      <c r="AC195" s="26"/>
      <c r="AD195" s="15"/>
    </row>
    <row r="196" spans="3:30" ht="12.75">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26"/>
      <c r="AC196" s="26"/>
      <c r="AD196" s="15"/>
    </row>
    <row r="197" spans="3:30" ht="12.75">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26"/>
      <c r="AC197" s="26"/>
      <c r="AD197" s="15"/>
    </row>
    <row r="198" spans="3:30" ht="12.75">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26"/>
      <c r="AC198" s="26"/>
      <c r="AD198" s="15"/>
    </row>
    <row r="199" spans="3:30" ht="12.75">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26"/>
      <c r="AC199" s="26"/>
      <c r="AD199" s="15"/>
    </row>
    <row r="200" spans="3:30" ht="12.75">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26"/>
      <c r="AC200" s="26"/>
      <c r="AD200" s="15"/>
    </row>
    <row r="201" spans="3:30" ht="12.75">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5"/>
    </row>
    <row r="202" spans="3:30" ht="12.75">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5"/>
    </row>
    <row r="203" spans="3:30" ht="12.75">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5"/>
    </row>
    <row r="204" spans="3:30" ht="12.75">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5"/>
    </row>
    <row r="205" spans="3:30" ht="12.75">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5"/>
    </row>
    <row r="206" spans="3:30" ht="12.75">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5"/>
    </row>
    <row r="207" spans="3:30" ht="12.75">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5"/>
    </row>
    <row r="208" spans="3:30" ht="12.75">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5"/>
    </row>
    <row r="209" spans="3:30" ht="12.75">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5"/>
    </row>
    <row r="210" spans="3:30" ht="12.75">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5"/>
    </row>
    <row r="211" spans="3:30" ht="12.75">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5"/>
    </row>
    <row r="212" spans="3:30" ht="12.75">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5"/>
    </row>
    <row r="213" spans="3:30" ht="12.75">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5"/>
    </row>
    <row r="214" spans="3:30" ht="12.75">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5"/>
    </row>
    <row r="215" spans="3:30" ht="12.75">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5"/>
    </row>
    <row r="216" spans="3:30" ht="12.75">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5"/>
    </row>
    <row r="217" spans="3:30" ht="12.75">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5"/>
    </row>
    <row r="218" spans="3:30" ht="12.75">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5"/>
    </row>
    <row r="219" spans="3:30" ht="12.75">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5"/>
    </row>
    <row r="220" spans="3:30" ht="12.75">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5"/>
    </row>
    <row r="221" spans="3:30" ht="12.75">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5"/>
    </row>
    <row r="222" spans="3:30" ht="12.75">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5"/>
    </row>
    <row r="223" spans="3:30" ht="12.75">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5"/>
    </row>
    <row r="224" spans="3:30" ht="12.75">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5"/>
    </row>
    <row r="225" spans="3:30" ht="12.75">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5"/>
    </row>
    <row r="226" spans="3:30" ht="12.75">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5"/>
    </row>
    <row r="227" spans="3:30" ht="12.75">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5"/>
    </row>
    <row r="228" spans="3:30" ht="12.75">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5"/>
    </row>
    <row r="229" spans="3:30" ht="12.75">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5"/>
    </row>
    <row r="230" spans="3:30" ht="12.75">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5"/>
    </row>
    <row r="231" spans="3:30" ht="12.75">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5"/>
    </row>
    <row r="232" spans="3:30" ht="12.75">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5"/>
    </row>
    <row r="233" spans="3:30" ht="12.75">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5"/>
    </row>
    <row r="234" spans="3:30" ht="12.75">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5"/>
    </row>
    <row r="235" spans="3:30" ht="12.75">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5"/>
    </row>
    <row r="236" spans="3:30" ht="12.75">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5"/>
    </row>
    <row r="237" spans="3:30" ht="12.75">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5"/>
    </row>
    <row r="238" spans="3:30" ht="12.75">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5"/>
    </row>
    <row r="239" spans="3:30" ht="12.75">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5"/>
    </row>
    <row r="240" spans="3:30" ht="12.75">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5"/>
    </row>
    <row r="241" spans="3:30" ht="12.75">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5"/>
    </row>
    <row r="242" spans="3:30" ht="12.75">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5"/>
    </row>
    <row r="243" spans="3:30" ht="12.75">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5"/>
    </row>
    <row r="244" spans="3:30" ht="12.75">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5"/>
    </row>
    <row r="245" spans="3:30" ht="12.75">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5"/>
    </row>
    <row r="246" spans="3:30" ht="12.75">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5"/>
    </row>
    <row r="247" spans="3:30" ht="12.75">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5"/>
    </row>
    <row r="248" spans="3:30" ht="12.75">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5"/>
    </row>
    <row r="249" spans="3:30" ht="12.75">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5"/>
    </row>
    <row r="250" spans="3:30" ht="12.75">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5"/>
    </row>
    <row r="251" spans="3:30" ht="12.75">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5"/>
    </row>
    <row r="252" spans="3:30" ht="12.75">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5"/>
    </row>
    <row r="253" spans="3:30" ht="12.75">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5"/>
    </row>
    <row r="254" spans="3:30" ht="12.75">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5"/>
    </row>
    <row r="255" spans="3:30" ht="12.75">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5"/>
    </row>
    <row r="256" spans="3:30" ht="12.75">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5"/>
    </row>
    <row r="257" spans="3:30" ht="12.75">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5"/>
    </row>
    <row r="258" spans="3:30" ht="12.75">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5"/>
    </row>
    <row r="259" spans="3:30" ht="12.75">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5"/>
    </row>
    <row r="260" spans="3:30" ht="12.75">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5"/>
    </row>
    <row r="261" spans="3:30" ht="12.75">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5"/>
    </row>
    <row r="262" spans="3:30" ht="12.75">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5"/>
    </row>
    <row r="263" spans="3:30" ht="12.75">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5"/>
    </row>
    <row r="264" spans="3:30" ht="12.75">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5"/>
    </row>
    <row r="265" spans="3:30" ht="12.75">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5"/>
    </row>
    <row r="266" spans="3:30" ht="12.75">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5"/>
    </row>
    <row r="267" spans="3:30" ht="12.75">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5"/>
    </row>
    <row r="268" spans="3:30" ht="12.75">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5"/>
    </row>
    <row r="269" spans="3:30" ht="12.75">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5"/>
    </row>
    <row r="270" spans="3:30" ht="12.75">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5"/>
    </row>
    <row r="271" spans="3:30" ht="12.75">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5"/>
    </row>
    <row r="272" spans="3:30" ht="12.75">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5"/>
    </row>
    <row r="273" spans="3:30" ht="12.75">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5"/>
    </row>
    <row r="274" spans="3:30" ht="12.75">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5"/>
    </row>
    <row r="275" spans="3:30" ht="12.75">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5"/>
    </row>
    <row r="276" spans="3:30" ht="12.75">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5"/>
    </row>
    <row r="277" spans="3:30" ht="12.75">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5"/>
    </row>
    <row r="278" spans="3:30" ht="12.75">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5"/>
    </row>
    <row r="279" spans="3:30" ht="12.75">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5"/>
    </row>
    <row r="280" spans="3:30" ht="12.75">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5"/>
    </row>
    <row r="281" spans="3:30" ht="12.75">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5"/>
    </row>
    <row r="282" spans="3:30" ht="12.75">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5"/>
    </row>
    <row r="283" spans="3:30" ht="12.75">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5"/>
    </row>
    <row r="284" spans="3:30" ht="12.75">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5"/>
    </row>
    <row r="285" spans="3:30" ht="12.75">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5"/>
    </row>
    <row r="286" spans="3:30" ht="12.75">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5"/>
    </row>
    <row r="287" spans="3:30" ht="12.75">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5"/>
    </row>
    <row r="288" spans="3:30" ht="12.75">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5"/>
    </row>
    <row r="289" spans="3:30" ht="12.75">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5"/>
    </row>
    <row r="290" spans="3:30" ht="12.75">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5"/>
    </row>
    <row r="291" spans="3:30" ht="12.75">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5"/>
    </row>
    <row r="292" spans="3:30" ht="12.75">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5"/>
    </row>
    <row r="293" spans="3:30" ht="12.75">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5"/>
    </row>
    <row r="294" spans="3:30" ht="12.75">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5"/>
    </row>
    <row r="295" spans="3:30" ht="12.75">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5"/>
    </row>
    <row r="296" spans="3:30" ht="12.75">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5"/>
    </row>
    <row r="297" spans="3:30" ht="12.75">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5"/>
    </row>
    <row r="298" spans="3:30" ht="12.75">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5"/>
    </row>
    <row r="299" spans="3:30" ht="12.75">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5"/>
    </row>
    <row r="300" spans="3:30" ht="12.75">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5"/>
    </row>
    <row r="301" spans="3:30" ht="12.75">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5"/>
    </row>
    <row r="302" spans="3:30" ht="12.75">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5"/>
    </row>
    <row r="303" spans="3:30" ht="12.75">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5"/>
    </row>
    <row r="304" spans="3:30" ht="12.75">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5"/>
    </row>
    <row r="305" spans="3:30" ht="12.75">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5"/>
    </row>
    <row r="306" spans="3:30" ht="12.75">
      <c r="C306" s="12"/>
      <c r="AB306" s="12"/>
      <c r="AC306" s="12"/>
      <c r="AD306" s="15"/>
    </row>
    <row r="307" spans="3:30" ht="12.75">
      <c r="C307" s="12"/>
      <c r="AB307" s="12"/>
      <c r="AC307" s="12"/>
      <c r="AD307" s="15"/>
    </row>
    <row r="308" spans="3:30" ht="12.75">
      <c r="C308" s="12"/>
      <c r="AB308" s="12"/>
      <c r="AC308" s="12"/>
      <c r="AD308" s="15"/>
    </row>
    <row r="309" spans="3:30" ht="12.75">
      <c r="C309" s="12"/>
      <c r="AB309" s="12"/>
      <c r="AC309" s="12"/>
      <c r="AD309" s="15"/>
    </row>
    <row r="310" spans="3:30" ht="12.75">
      <c r="C310" s="12"/>
      <c r="AB310" s="12"/>
      <c r="AC310" s="12"/>
      <c r="AD310" s="15"/>
    </row>
    <row r="311" spans="3:30" ht="12.75">
      <c r="C311" s="12"/>
      <c r="AB311" s="12"/>
      <c r="AC311" s="12"/>
      <c r="AD311" s="15"/>
    </row>
    <row r="312" spans="3:30" ht="12.75">
      <c r="C312" s="12"/>
      <c r="AB312" s="12"/>
      <c r="AC312" s="12"/>
      <c r="AD312" s="15"/>
    </row>
    <row r="313" spans="3:30" ht="12.75">
      <c r="C313" s="12"/>
      <c r="AB313" s="12"/>
      <c r="AC313" s="12"/>
      <c r="AD313" s="15"/>
    </row>
    <row r="314" spans="3:30" ht="12.75">
      <c r="C314" s="12"/>
      <c r="AB314" s="12"/>
      <c r="AC314" s="12"/>
      <c r="AD314" s="15"/>
    </row>
    <row r="315" spans="3:30" ht="12.75">
      <c r="C315" s="12"/>
      <c r="AB315" s="12"/>
      <c r="AC315" s="12"/>
      <c r="AD315" s="15"/>
    </row>
  </sheetData>
  <sheetProtection password="C8AE" sheet="1" objects="1" scenarios="1" selectLockedCells="1"/>
  <mergeCells count="2">
    <mergeCell ref="D6:L7"/>
    <mergeCell ref="AA2:AB2"/>
  </mergeCells>
  <printOptions horizontalCentered="1"/>
  <pageMargins left="0" right="0" top="0.3937007874015748" bottom="0" header="0" footer="0"/>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Taul7"/>
  <dimension ref="B2:AL299"/>
  <sheetViews>
    <sheetView showGridLines="0" zoomScalePageLayoutView="0" workbookViewId="0" topLeftCell="A1">
      <selection activeCell="A1" sqref="A1"/>
    </sheetView>
  </sheetViews>
  <sheetFormatPr defaultColWidth="9.140625" defaultRowHeight="12.75"/>
  <cols>
    <col min="1" max="6" width="9.140625" style="211" customWidth="1"/>
    <col min="7" max="7" width="9.57421875" style="211" bestFit="1" customWidth="1"/>
    <col min="8" max="25" width="9.140625" style="211" customWidth="1"/>
    <col min="26" max="26" width="9.57421875" style="211" bestFit="1" customWidth="1"/>
    <col min="27" max="27" width="9.421875" style="211" bestFit="1" customWidth="1"/>
    <col min="28" max="28" width="9.421875" style="211" customWidth="1"/>
    <col min="29" max="16384" width="9.140625" style="211" customWidth="1"/>
  </cols>
  <sheetData>
    <row r="2" spans="2:29" ht="12.75">
      <c r="B2" s="343" t="s">
        <v>180</v>
      </c>
      <c r="C2" s="254"/>
      <c r="D2" s="340"/>
      <c r="E2" s="341"/>
      <c r="F2" s="254"/>
      <c r="G2" s="236"/>
      <c r="H2" s="342"/>
      <c r="I2" s="342"/>
      <c r="J2" s="236"/>
      <c r="K2" s="236"/>
      <c r="L2" s="236"/>
      <c r="M2" s="236"/>
      <c r="N2" s="236"/>
      <c r="O2" s="236"/>
      <c r="P2" s="236"/>
      <c r="Q2" s="236"/>
      <c r="R2" s="236"/>
      <c r="S2" s="236"/>
      <c r="T2" s="236"/>
      <c r="U2" s="368"/>
      <c r="V2" s="368"/>
      <c r="W2" s="368"/>
      <c r="X2" s="368"/>
      <c r="Y2" s="368"/>
      <c r="Z2" s="368"/>
      <c r="AA2" s="368"/>
      <c r="AB2" s="368"/>
      <c r="AC2" s="368"/>
    </row>
    <row r="4" spans="2:28" ht="12.75">
      <c r="B4" s="888" t="s">
        <v>194</v>
      </c>
      <c r="C4" s="889"/>
      <c r="D4" s="889"/>
      <c r="E4" s="889"/>
      <c r="F4" s="889"/>
      <c r="G4" s="889"/>
      <c r="H4" s="890"/>
      <c r="I4" s="55"/>
      <c r="J4" s="404" t="s">
        <v>264</v>
      </c>
      <c r="K4" s="457"/>
      <c r="L4" s="458"/>
      <c r="M4" s="447"/>
      <c r="N4" s="499"/>
      <c r="O4" s="447"/>
      <c r="P4" s="447"/>
      <c r="Q4" s="100"/>
      <c r="R4" s="174"/>
      <c r="S4" s="100"/>
      <c r="T4" s="55"/>
      <c r="U4" s="55"/>
      <c r="V4" s="55"/>
      <c r="W4" s="55"/>
      <c r="X4" s="55"/>
      <c r="Y4" s="55"/>
      <c r="Z4" s="55"/>
      <c r="AA4" s="55"/>
      <c r="AB4" s="55"/>
    </row>
    <row r="5" spans="2:28" ht="12.75">
      <c r="B5" s="253">
        <v>1</v>
      </c>
      <c r="C5" s="219" t="str">
        <f>VLOOKUP(B5,B6:D7,2)</f>
        <v>2 reunaa tuettu  (reunapalkki + kansi + pintalaatta vapaana)</v>
      </c>
      <c r="D5" s="259"/>
      <c r="E5" s="692"/>
      <c r="F5" s="692"/>
      <c r="G5" s="692"/>
      <c r="H5" s="474"/>
      <c r="I5" s="215"/>
      <c r="J5" s="253">
        <v>1</v>
      </c>
      <c r="K5" s="419" t="str">
        <f>VLOOKUP(J5,J6:L7,2)</f>
        <v>Elementtirakenteinen</v>
      </c>
      <c r="L5" s="240"/>
      <c r="M5" s="344"/>
      <c r="N5" s="344"/>
      <c r="O5" s="344"/>
      <c r="P5" s="247"/>
      <c r="Q5" s="217"/>
      <c r="R5" s="217"/>
      <c r="S5" s="217"/>
      <c r="T5" s="215"/>
      <c r="U5" s="215"/>
      <c r="V5" s="215"/>
      <c r="W5" s="215"/>
      <c r="X5" s="215"/>
      <c r="Y5" s="215"/>
      <c r="Z5" s="215"/>
      <c r="AA5" s="215"/>
      <c r="AB5" s="215"/>
    </row>
    <row r="6" spans="2:28" ht="12.75">
      <c r="B6" s="260">
        <v>1</v>
      </c>
      <c r="C6" s="242" t="s">
        <v>216</v>
      </c>
      <c r="D6" s="386"/>
      <c r="E6" s="374"/>
      <c r="F6" s="374"/>
      <c r="G6" s="374"/>
      <c r="H6" s="385"/>
      <c r="I6" s="215"/>
      <c r="J6" s="260">
        <v>1</v>
      </c>
      <c r="K6" s="242" t="s">
        <v>265</v>
      </c>
      <c r="L6" s="385"/>
      <c r="M6" s="344"/>
      <c r="N6" s="500"/>
      <c r="O6" s="344"/>
      <c r="P6" s="247"/>
      <c r="Q6" s="247"/>
      <c r="R6" s="247"/>
      <c r="S6" s="215"/>
      <c r="T6" s="215"/>
      <c r="U6" s="215"/>
      <c r="V6" s="215"/>
      <c r="W6" s="215"/>
      <c r="X6" s="215"/>
      <c r="Y6" s="215"/>
      <c r="Z6" s="215"/>
      <c r="AA6" s="215"/>
      <c r="AB6" s="215"/>
    </row>
    <row r="7" spans="2:28" ht="12.75">
      <c r="B7" s="261">
        <v>2</v>
      </c>
      <c r="C7" s="225" t="str">
        <f>IF(AND(B5=2,J5=1,I261="ei ole"),"VALINTA PUUTTUU",IF(AND(B5=1,J5=1,I261="ei ole"),"","4 reunaa tuettu (reunapalkki + kansi + pintalaatta painumattomalla tuella)"))</f>
        <v>4 reunaa tuettu (reunapalkki + kansi + pintalaatta painumattomalla tuella)</v>
      </c>
      <c r="D7" s="236"/>
      <c r="E7" s="368"/>
      <c r="F7" s="368"/>
      <c r="G7" s="368"/>
      <c r="H7" s="226"/>
      <c r="I7" s="223"/>
      <c r="J7" s="261">
        <v>2</v>
      </c>
      <c r="K7" s="225" t="s">
        <v>266</v>
      </c>
      <c r="L7" s="226"/>
      <c r="M7" s="344"/>
      <c r="N7" s="344"/>
      <c r="O7" s="344"/>
      <c r="P7" s="216"/>
      <c r="Q7" s="223"/>
      <c r="R7" s="223"/>
      <c r="S7" s="223"/>
      <c r="T7" s="223"/>
      <c r="U7" s="223"/>
      <c r="V7" s="223"/>
      <c r="W7" s="223"/>
      <c r="X7" s="223"/>
      <c r="Y7" s="223"/>
      <c r="Z7" s="223"/>
      <c r="AA7" s="223"/>
      <c r="AB7" s="223"/>
    </row>
    <row r="8" spans="2:28" ht="12.75">
      <c r="B8" s="170"/>
      <c r="C8" s="170"/>
      <c r="D8" s="171"/>
      <c r="H8" s="223"/>
      <c r="I8" s="223"/>
      <c r="J8" s="223"/>
      <c r="K8" s="216"/>
      <c r="L8" s="216"/>
      <c r="M8" s="223"/>
      <c r="N8" s="223"/>
      <c r="O8" s="223"/>
      <c r="P8" s="223"/>
      <c r="Q8" s="223"/>
      <c r="R8" s="223"/>
      <c r="S8" s="223"/>
      <c r="T8" s="223"/>
      <c r="U8" s="223"/>
      <c r="V8" s="223"/>
      <c r="W8" s="223"/>
      <c r="X8" s="216"/>
      <c r="Y8" s="223"/>
      <c r="Z8" s="223"/>
      <c r="AA8" s="223"/>
      <c r="AB8" s="223"/>
    </row>
    <row r="9" spans="2:29" ht="12.75">
      <c r="B9" s="891" t="s">
        <v>192</v>
      </c>
      <c r="C9" s="892"/>
      <c r="D9" s="892"/>
      <c r="E9" s="892"/>
      <c r="F9" s="892"/>
      <c r="G9" s="893"/>
      <c r="H9" s="894"/>
      <c r="I9" s="880" t="s">
        <v>42</v>
      </c>
      <c r="J9" s="885"/>
      <c r="K9" s="885"/>
      <c r="L9" s="885"/>
      <c r="M9" s="885"/>
      <c r="N9" s="885"/>
      <c r="O9" s="885"/>
      <c r="P9" s="885"/>
      <c r="Q9" s="885"/>
      <c r="R9" s="886"/>
      <c r="S9" s="880" t="s">
        <v>187</v>
      </c>
      <c r="T9" s="881"/>
      <c r="U9" s="881"/>
      <c r="V9" s="881"/>
      <c r="W9" s="882"/>
      <c r="X9" s="883"/>
      <c r="Y9" s="434" t="s">
        <v>191</v>
      </c>
      <c r="Z9" s="223"/>
      <c r="AA9" s="298" t="s">
        <v>219</v>
      </c>
      <c r="AB9" s="468"/>
      <c r="AC9" s="388"/>
    </row>
    <row r="10" spans="2:29" ht="12.75">
      <c r="B10" s="895"/>
      <c r="C10" s="896"/>
      <c r="D10" s="896"/>
      <c r="E10" s="896"/>
      <c r="F10" s="896"/>
      <c r="G10" s="897"/>
      <c r="H10" s="898"/>
      <c r="I10" s="884" t="s">
        <v>42</v>
      </c>
      <c r="J10" s="885"/>
      <c r="K10" s="885"/>
      <c r="L10" s="886"/>
      <c r="M10" s="506" t="s">
        <v>41</v>
      </c>
      <c r="N10" s="506" t="s">
        <v>190</v>
      </c>
      <c r="O10" s="422" t="s">
        <v>184</v>
      </c>
      <c r="P10" s="422" t="s">
        <v>185</v>
      </c>
      <c r="Q10" s="422" t="s">
        <v>186</v>
      </c>
      <c r="R10" s="507" t="s">
        <v>294</v>
      </c>
      <c r="S10" s="506" t="s">
        <v>188</v>
      </c>
      <c r="T10" s="506" t="s">
        <v>189</v>
      </c>
      <c r="U10" s="506" t="s">
        <v>190</v>
      </c>
      <c r="V10" s="422" t="s">
        <v>136</v>
      </c>
      <c r="W10" s="422" t="s">
        <v>186</v>
      </c>
      <c r="X10" s="507" t="s">
        <v>296</v>
      </c>
      <c r="Y10" s="508" t="s">
        <v>295</v>
      </c>
      <c r="AA10" s="382" t="s">
        <v>218</v>
      </c>
      <c r="AB10" s="382" t="s">
        <v>279</v>
      </c>
      <c r="AC10" s="422" t="s">
        <v>106</v>
      </c>
    </row>
    <row r="11" spans="2:29" ht="12.75">
      <c r="B11" s="509" t="s">
        <v>31</v>
      </c>
      <c r="C11" s="899" t="s">
        <v>193</v>
      </c>
      <c r="D11" s="893"/>
      <c r="E11" s="893"/>
      <c r="F11" s="893"/>
      <c r="G11" s="893"/>
      <c r="H11" s="894"/>
      <c r="I11" s="884"/>
      <c r="J11" s="885"/>
      <c r="K11" s="885"/>
      <c r="L11" s="886"/>
      <c r="M11" s="506" t="s">
        <v>0</v>
      </c>
      <c r="N11" s="506" t="s">
        <v>0</v>
      </c>
      <c r="O11" s="506" t="s">
        <v>10</v>
      </c>
      <c r="P11" s="506" t="s">
        <v>10</v>
      </c>
      <c r="Q11" s="506" t="s">
        <v>12</v>
      </c>
      <c r="R11" s="510" t="s">
        <v>40</v>
      </c>
      <c r="S11" s="506" t="s">
        <v>0</v>
      </c>
      <c r="T11" s="506" t="s">
        <v>0</v>
      </c>
      <c r="U11" s="506" t="s">
        <v>0</v>
      </c>
      <c r="V11" s="506" t="s">
        <v>10</v>
      </c>
      <c r="W11" s="506" t="s">
        <v>12</v>
      </c>
      <c r="X11" s="510" t="s">
        <v>40</v>
      </c>
      <c r="Y11" s="511" t="s">
        <v>59</v>
      </c>
      <c r="Z11" s="365" t="s">
        <v>438</v>
      </c>
      <c r="AA11" s="381" t="s">
        <v>10</v>
      </c>
      <c r="AB11" s="381" t="s">
        <v>10</v>
      </c>
      <c r="AC11" s="381" t="s">
        <v>217</v>
      </c>
    </row>
    <row r="12" spans="2:29" ht="12.75">
      <c r="B12" s="512">
        <v>1</v>
      </c>
      <c r="C12" s="501" t="str">
        <f>VLOOKUP(B12,B13:AC56,2)</f>
        <v>Havuvanerilevy - 18 - 6 ply - (2400) x 1200</v>
      </c>
      <c r="D12" s="502"/>
      <c r="E12" s="502"/>
      <c r="F12" s="503"/>
      <c r="G12" s="504"/>
      <c r="H12" s="505"/>
      <c r="I12" s="887" t="str">
        <f>VLOOKUP(B12,B13:AC56,8)</f>
        <v>Havuvanerilevy / Kerto-Q-levy</v>
      </c>
      <c r="J12" s="885"/>
      <c r="K12" s="885"/>
      <c r="L12" s="886"/>
      <c r="M12" s="512">
        <f>VLOOKUP(B12,B13:AC56,12)</f>
        <v>18</v>
      </c>
      <c r="N12" s="512">
        <f>VLOOKUP(B12,B13:AC56,13)</f>
        <v>1000</v>
      </c>
      <c r="O12" s="512">
        <f>VLOOKUP(B12,B13:AC56,14)</f>
        <v>3444</v>
      </c>
      <c r="P12" s="513">
        <f>VLOOKUP(B12,B13:AC56,15)</f>
        <v>8556</v>
      </c>
      <c r="Q12" s="513">
        <f>VLOOKUP(B12,B13:AC56,16)</f>
        <v>486000</v>
      </c>
      <c r="R12" s="513">
        <f>VLOOKUP(B12,B13:AC56,17)</f>
        <v>4158216</v>
      </c>
      <c r="S12" s="513">
        <f>VLOOKUP(B12,B13:AC56,18)</f>
        <v>0</v>
      </c>
      <c r="T12" s="512">
        <f>VLOOKUP(B12,B13:AC56,19)</f>
        <v>0</v>
      </c>
      <c r="U12" s="512">
        <f>VLOOKUP(B12,B13:AC56,20)</f>
        <v>0</v>
      </c>
      <c r="V12" s="513">
        <f>VLOOKUP(B12,B13:AC56,21)</f>
        <v>0</v>
      </c>
      <c r="W12" s="513">
        <f>VLOOKUP(B12,B13:AC56,22)</f>
        <v>0</v>
      </c>
      <c r="X12" s="513">
        <f>VLOOKUP(B12,B13:AC56,23)</f>
        <v>0</v>
      </c>
      <c r="Y12" s="513">
        <f>VLOOKUP(B12,B13:AC56,24)</f>
        <v>4158216</v>
      </c>
      <c r="Z12" s="513" t="str">
        <f>VLOOKUP(B12,B13:AC56,25)</f>
        <v>y</v>
      </c>
      <c r="AA12" s="383">
        <f>VLOOKUP(B12,B13:AC44,26)</f>
        <v>4238</v>
      </c>
      <c r="AB12" s="383">
        <f>VLOOKUP(B12,B13:AC44,27)</f>
        <v>7862</v>
      </c>
      <c r="AC12" s="383">
        <f>VLOOKUP(B12,B13:AC44,28)</f>
        <v>460</v>
      </c>
    </row>
    <row r="13" spans="2:29" ht="12.75">
      <c r="B13" s="613">
        <v>1</v>
      </c>
      <c r="C13" s="614" t="str">
        <f>Levykirjasto!F12</f>
        <v>Havuvanerilevy - 18 - 6 ply - (2400) x 1200</v>
      </c>
      <c r="D13" s="615"/>
      <c r="E13" s="616"/>
      <c r="F13" s="615"/>
      <c r="G13" s="616"/>
      <c r="H13" s="616"/>
      <c r="I13" s="900" t="str">
        <f>Levykirjasto!E12</f>
        <v>Havuvanerilevy / Kerto-Q-levy</v>
      </c>
      <c r="J13" s="901"/>
      <c r="K13" s="901"/>
      <c r="L13" s="902"/>
      <c r="M13" s="617">
        <f>Levykirjasto!G12</f>
        <v>18</v>
      </c>
      <c r="N13" s="618">
        <v>1000</v>
      </c>
      <c r="O13" s="619">
        <f>Levykirjasto!J12</f>
        <v>3444</v>
      </c>
      <c r="P13" s="618">
        <f>Levykirjasto!K12</f>
        <v>8556</v>
      </c>
      <c r="Q13" s="618">
        <f aca="true" t="shared" si="0" ref="Q13:Q44">1000*M13^3/12</f>
        <v>486000</v>
      </c>
      <c r="R13" s="613">
        <f>(P13*Q13)/N13</f>
        <v>4158216</v>
      </c>
      <c r="S13" s="619">
        <v>0</v>
      </c>
      <c r="T13" s="618">
        <v>0</v>
      </c>
      <c r="U13" s="618">
        <v>0</v>
      </c>
      <c r="V13" s="618">
        <f>Levykirjasto!AC12</f>
        <v>0</v>
      </c>
      <c r="W13" s="619">
        <f>S13*T13^3/12</f>
        <v>0</v>
      </c>
      <c r="X13" s="613">
        <f aca="true" t="shared" si="1" ref="X13:X44">(V13*W13)/1000</f>
        <v>0</v>
      </c>
      <c r="Y13" s="620">
        <f aca="true" t="shared" si="2" ref="Y13:Y56">R13+X13</f>
        <v>4158216</v>
      </c>
      <c r="Z13" s="613" t="str">
        <f>Levykirjasto!M12</f>
        <v>y</v>
      </c>
      <c r="AA13" s="221">
        <f>Levykirjasto!H12</f>
        <v>4238</v>
      </c>
      <c r="AB13" s="241">
        <f>Levykirjasto!I12</f>
        <v>7862</v>
      </c>
      <c r="AC13" s="378">
        <f>Levykirjasto!L12</f>
        <v>460</v>
      </c>
    </row>
    <row r="14" spans="2:29" ht="12.75">
      <c r="B14" s="621">
        <v>2</v>
      </c>
      <c r="C14" s="622" t="str">
        <f>Levykirjasto!F13</f>
        <v>Havuvanerilevy - 18 - 7 ply - (2400) x 1200</v>
      </c>
      <c r="D14" s="622"/>
      <c r="E14" s="623"/>
      <c r="F14" s="623"/>
      <c r="G14" s="623"/>
      <c r="H14" s="623"/>
      <c r="I14" s="879" t="str">
        <f>Levykirjasto!E13</f>
        <v>Havuvanerilevy / Kerto-Q-levy</v>
      </c>
      <c r="J14" s="868"/>
      <c r="K14" s="868"/>
      <c r="L14" s="869"/>
      <c r="M14" s="624">
        <f>Levykirjasto!G13</f>
        <v>18</v>
      </c>
      <c r="N14" s="625">
        <v>1000</v>
      </c>
      <c r="O14" s="626">
        <f>Levykirjasto!J13</f>
        <v>3830</v>
      </c>
      <c r="P14" s="625">
        <f>Levykirjasto!K13</f>
        <v>8170</v>
      </c>
      <c r="Q14" s="625">
        <f t="shared" si="0"/>
        <v>486000</v>
      </c>
      <c r="R14" s="621">
        <f aca="true" t="shared" si="3" ref="R14:R44">(P14*Q14)/N14</f>
        <v>3970620</v>
      </c>
      <c r="S14" s="626">
        <v>0</v>
      </c>
      <c r="T14" s="625">
        <v>0</v>
      </c>
      <c r="U14" s="625">
        <v>0</v>
      </c>
      <c r="V14" s="625">
        <f>Levykirjasto!AC13</f>
        <v>0</v>
      </c>
      <c r="W14" s="626">
        <f aca="true" t="shared" si="4" ref="W14:W44">S14*T14^3/12</f>
        <v>0</v>
      </c>
      <c r="X14" s="621">
        <f t="shared" si="1"/>
        <v>0</v>
      </c>
      <c r="Y14" s="627">
        <f t="shared" si="2"/>
        <v>3970620</v>
      </c>
      <c r="Z14" s="621" t="str">
        <f>Levykirjasto!M13</f>
        <v>y</v>
      </c>
      <c r="AA14" s="221">
        <f>Levykirjasto!H13</f>
        <v>5318</v>
      </c>
      <c r="AB14" s="221">
        <f>Levykirjasto!I13</f>
        <v>6682</v>
      </c>
      <c r="AC14" s="378">
        <f>Levykirjasto!L13</f>
        <v>460</v>
      </c>
    </row>
    <row r="15" spans="2:29" ht="12.75">
      <c r="B15" s="621">
        <v>3</v>
      </c>
      <c r="C15" s="622" t="str">
        <f>Levykirjasto!F14</f>
        <v>Havuvanerilevy - 21 - 7 ply - (2400) x 1200</v>
      </c>
      <c r="D15" s="622"/>
      <c r="E15" s="623"/>
      <c r="F15" s="623"/>
      <c r="G15" s="623"/>
      <c r="H15" s="623"/>
      <c r="I15" s="879" t="str">
        <f>Levykirjasto!E14</f>
        <v>Havuvanerilevy / Kerto-Q-levy</v>
      </c>
      <c r="J15" s="868"/>
      <c r="K15" s="868"/>
      <c r="L15" s="869"/>
      <c r="M15" s="624">
        <f>Levykirjasto!G14</f>
        <v>21</v>
      </c>
      <c r="N15" s="625">
        <v>1000</v>
      </c>
      <c r="O15" s="626">
        <f>Levykirjasto!J14</f>
        <v>3770</v>
      </c>
      <c r="P15" s="625">
        <f>Levykirjasto!K14</f>
        <v>8230</v>
      </c>
      <c r="Q15" s="625">
        <f t="shared" si="0"/>
        <v>771750</v>
      </c>
      <c r="R15" s="621">
        <f t="shared" si="3"/>
        <v>6351502.5</v>
      </c>
      <c r="S15" s="626">
        <v>0</v>
      </c>
      <c r="T15" s="625">
        <v>0</v>
      </c>
      <c r="U15" s="625">
        <v>0</v>
      </c>
      <c r="V15" s="625">
        <f>Levykirjasto!AC14</f>
        <v>0</v>
      </c>
      <c r="W15" s="626">
        <f t="shared" si="4"/>
        <v>0</v>
      </c>
      <c r="X15" s="621">
        <f t="shared" si="1"/>
        <v>0</v>
      </c>
      <c r="Y15" s="627">
        <f t="shared" si="2"/>
        <v>6351502.5</v>
      </c>
      <c r="Z15" s="621" t="str">
        <f>Levykirjasto!M14</f>
        <v>y</v>
      </c>
      <c r="AA15" s="221">
        <f>Levykirjasto!H14</f>
        <v>5290</v>
      </c>
      <c r="AB15" s="221">
        <f>Levykirjasto!I14</f>
        <v>6710</v>
      </c>
      <c r="AC15" s="378">
        <f>Levykirjasto!L14</f>
        <v>460</v>
      </c>
    </row>
    <row r="16" spans="2:29" ht="12.75">
      <c r="B16" s="621">
        <v>4</v>
      </c>
      <c r="C16" s="622" t="str">
        <f>Levykirjasto!F15</f>
        <v>Havuvanerilevy - 24 - 8 ply - (2400) x 1200</v>
      </c>
      <c r="D16" s="622"/>
      <c r="E16" s="623"/>
      <c r="F16" s="623"/>
      <c r="G16" s="623"/>
      <c r="H16" s="623"/>
      <c r="I16" s="879" t="str">
        <f>Levykirjasto!E15</f>
        <v>Havuvanerilevy / Kerto-Q-levy</v>
      </c>
      <c r="J16" s="868"/>
      <c r="K16" s="868"/>
      <c r="L16" s="869"/>
      <c r="M16" s="624">
        <f>Levykirjasto!G15</f>
        <v>24</v>
      </c>
      <c r="N16" s="625">
        <v>1000</v>
      </c>
      <c r="O16" s="626">
        <f>Levykirjasto!J15</f>
        <v>3844</v>
      </c>
      <c r="P16" s="625">
        <f>Levykirjasto!K15</f>
        <v>8156</v>
      </c>
      <c r="Q16" s="625">
        <f t="shared" si="0"/>
        <v>1152000</v>
      </c>
      <c r="R16" s="621">
        <f t="shared" si="3"/>
        <v>9395712</v>
      </c>
      <c r="S16" s="626">
        <v>0</v>
      </c>
      <c r="T16" s="625">
        <v>0</v>
      </c>
      <c r="U16" s="625">
        <v>0</v>
      </c>
      <c r="V16" s="625">
        <f>Levykirjasto!AC15</f>
        <v>0</v>
      </c>
      <c r="W16" s="626">
        <f t="shared" si="4"/>
        <v>0</v>
      </c>
      <c r="X16" s="621">
        <f t="shared" si="1"/>
        <v>0</v>
      </c>
      <c r="Y16" s="627">
        <f t="shared" si="2"/>
        <v>9395712</v>
      </c>
      <c r="Z16" s="621" t="str">
        <f>Levykirjasto!M15</f>
        <v>y</v>
      </c>
      <c r="AA16" s="221">
        <f>Levykirjasto!H15</f>
        <v>3077</v>
      </c>
      <c r="AB16" s="221">
        <f>Levykirjasto!I15</f>
        <v>8923</v>
      </c>
      <c r="AC16" s="378">
        <f>Levykirjasto!L15</f>
        <v>460</v>
      </c>
    </row>
    <row r="17" spans="2:29" ht="12.75">
      <c r="B17" s="621">
        <v>5</v>
      </c>
      <c r="C17" s="622" t="str">
        <f>Levykirjasto!F16</f>
        <v>Havuvanerilevy - 24 - 9 ply - (2400) x 1200</v>
      </c>
      <c r="D17" s="622"/>
      <c r="E17" s="623"/>
      <c r="F17" s="623"/>
      <c r="G17" s="623"/>
      <c r="H17" s="623"/>
      <c r="I17" s="879" t="str">
        <f>Levykirjasto!E16</f>
        <v>Havuvanerilevy / Kerto-Q-levy</v>
      </c>
      <c r="J17" s="868"/>
      <c r="K17" s="868"/>
      <c r="L17" s="869"/>
      <c r="M17" s="624">
        <f>Levykirjasto!G16</f>
        <v>24</v>
      </c>
      <c r="N17" s="625">
        <v>1000</v>
      </c>
      <c r="O17" s="626">
        <f>Levykirjasto!J16</f>
        <v>4342</v>
      </c>
      <c r="P17" s="625">
        <f>Levykirjasto!K16</f>
        <v>7658</v>
      </c>
      <c r="Q17" s="625">
        <f t="shared" si="0"/>
        <v>1152000</v>
      </c>
      <c r="R17" s="621">
        <f t="shared" si="3"/>
        <v>8822016</v>
      </c>
      <c r="S17" s="626">
        <v>0</v>
      </c>
      <c r="T17" s="625">
        <v>0</v>
      </c>
      <c r="U17" s="625">
        <v>0</v>
      </c>
      <c r="V17" s="625">
        <f>Levykirjasto!AC16</f>
        <v>0</v>
      </c>
      <c r="W17" s="626">
        <f t="shared" si="4"/>
        <v>0</v>
      </c>
      <c r="X17" s="621">
        <f t="shared" si="1"/>
        <v>0</v>
      </c>
      <c r="Y17" s="627">
        <f t="shared" si="2"/>
        <v>8822016</v>
      </c>
      <c r="Z17" s="621" t="str">
        <f>Levykirjasto!M16</f>
        <v>y</v>
      </c>
      <c r="AA17" s="221">
        <f>Levykirjasto!H16</f>
        <v>5474</v>
      </c>
      <c r="AB17" s="221">
        <f>Levykirjasto!I16</f>
        <v>6526</v>
      </c>
      <c r="AC17" s="378">
        <f>Levykirjasto!L16</f>
        <v>460</v>
      </c>
    </row>
    <row r="18" spans="2:29" ht="12.75">
      <c r="B18" s="621">
        <v>6</v>
      </c>
      <c r="C18" s="622" t="str">
        <f>Levykirjasto!F17</f>
        <v>Havuvanerilevy - 27 - 9 ply - (2400) x 1200</v>
      </c>
      <c r="D18" s="622"/>
      <c r="E18" s="623"/>
      <c r="F18" s="623"/>
      <c r="G18" s="623"/>
      <c r="H18" s="623"/>
      <c r="I18" s="879" t="str">
        <f>Levykirjasto!E17</f>
        <v>Havuvanerilevy / Kerto-Q-levy</v>
      </c>
      <c r="J18" s="868"/>
      <c r="K18" s="868"/>
      <c r="L18" s="869"/>
      <c r="M18" s="624">
        <f>Levykirjasto!G17</f>
        <v>27</v>
      </c>
      <c r="N18" s="625">
        <v>1000</v>
      </c>
      <c r="O18" s="626">
        <f>Levykirjasto!J17</f>
        <v>4297</v>
      </c>
      <c r="P18" s="625">
        <f>Levykirjasto!K17</f>
        <v>7703</v>
      </c>
      <c r="Q18" s="625">
        <f t="shared" si="0"/>
        <v>1640250</v>
      </c>
      <c r="R18" s="621">
        <f t="shared" si="3"/>
        <v>12634845.75</v>
      </c>
      <c r="S18" s="626">
        <v>0</v>
      </c>
      <c r="T18" s="625">
        <v>0</v>
      </c>
      <c r="U18" s="625">
        <v>0</v>
      </c>
      <c r="V18" s="625">
        <f>Levykirjasto!AC17</f>
        <v>0</v>
      </c>
      <c r="W18" s="626">
        <f t="shared" si="4"/>
        <v>0</v>
      </c>
      <c r="X18" s="621">
        <f t="shared" si="1"/>
        <v>0</v>
      </c>
      <c r="Y18" s="627">
        <f t="shared" si="2"/>
        <v>12634845.75</v>
      </c>
      <c r="Z18" s="621" t="str">
        <f>Levykirjasto!M17</f>
        <v>y</v>
      </c>
      <c r="AA18" s="221">
        <f>Levykirjasto!H17</f>
        <v>5455</v>
      </c>
      <c r="AB18" s="221">
        <f>Levykirjasto!I17</f>
        <v>6545</v>
      </c>
      <c r="AC18" s="378">
        <f>Levykirjasto!L17</f>
        <v>460</v>
      </c>
    </row>
    <row r="19" spans="2:29" ht="12.75">
      <c r="B19" s="621">
        <v>7</v>
      </c>
      <c r="C19" s="622" t="str">
        <f>Levykirjasto!F18</f>
        <v>Havuvanerilevy - 30 - 10 ply - (2400) x 1200</v>
      </c>
      <c r="D19" s="622"/>
      <c r="E19" s="623"/>
      <c r="F19" s="623"/>
      <c r="G19" s="623"/>
      <c r="H19" s="623"/>
      <c r="I19" s="879" t="str">
        <f>Levykirjasto!E18</f>
        <v>Havuvanerilevy / Kerto-Q-levy</v>
      </c>
      <c r="J19" s="868"/>
      <c r="K19" s="868"/>
      <c r="L19" s="869"/>
      <c r="M19" s="624">
        <f>Levykirjasto!G18</f>
        <v>30</v>
      </c>
      <c r="N19" s="625">
        <v>1000</v>
      </c>
      <c r="O19" s="626">
        <f>Levykirjasto!J18</f>
        <v>4488</v>
      </c>
      <c r="P19" s="625">
        <f>Levykirjasto!K18</f>
        <v>7512</v>
      </c>
      <c r="Q19" s="625">
        <f t="shared" si="0"/>
        <v>2250000</v>
      </c>
      <c r="R19" s="621">
        <f t="shared" si="3"/>
        <v>16902000</v>
      </c>
      <c r="S19" s="626">
        <v>0</v>
      </c>
      <c r="T19" s="625">
        <v>0</v>
      </c>
      <c r="U19" s="625">
        <v>0</v>
      </c>
      <c r="V19" s="625">
        <f>Levykirjasto!AC18</f>
        <v>0</v>
      </c>
      <c r="W19" s="626">
        <f t="shared" si="4"/>
        <v>0</v>
      </c>
      <c r="X19" s="621">
        <f t="shared" si="1"/>
        <v>0</v>
      </c>
      <c r="Y19" s="627">
        <f t="shared" si="2"/>
        <v>16902000</v>
      </c>
      <c r="Z19" s="621" t="str">
        <f>Levykirjasto!M18</f>
        <v>y</v>
      </c>
      <c r="AA19" s="221">
        <f>Levykirjasto!H18</f>
        <v>4898</v>
      </c>
      <c r="AB19" s="221">
        <f>Levykirjasto!I18</f>
        <v>7102</v>
      </c>
      <c r="AC19" s="378">
        <f>Levykirjasto!L18</f>
        <v>460</v>
      </c>
    </row>
    <row r="20" spans="2:29" ht="12.75">
      <c r="B20" s="621">
        <v>8</v>
      </c>
      <c r="C20" s="622" t="str">
        <f>Levykirjasto!F19</f>
        <v>OMA</v>
      </c>
      <c r="D20" s="622"/>
      <c r="E20" s="623"/>
      <c r="F20" s="623"/>
      <c r="G20" s="623"/>
      <c r="H20" s="623"/>
      <c r="I20" s="879" t="str">
        <f>Levykirjasto!E19</f>
        <v>Havuvanerilevy / Kerto-Q-levy</v>
      </c>
      <c r="J20" s="868"/>
      <c r="K20" s="868"/>
      <c r="L20" s="869"/>
      <c r="M20" s="624">
        <f>Levykirjasto!G19</f>
        <v>0</v>
      </c>
      <c r="N20" s="625">
        <v>1000</v>
      </c>
      <c r="O20" s="626">
        <f>Levykirjasto!J19</f>
        <v>0</v>
      </c>
      <c r="P20" s="625">
        <f>Levykirjasto!K19</f>
        <v>0</v>
      </c>
      <c r="Q20" s="625">
        <f t="shared" si="0"/>
        <v>0</v>
      </c>
      <c r="R20" s="621">
        <f t="shared" si="3"/>
        <v>0</v>
      </c>
      <c r="S20" s="626">
        <v>0</v>
      </c>
      <c r="T20" s="625">
        <v>0</v>
      </c>
      <c r="U20" s="625">
        <v>0</v>
      </c>
      <c r="V20" s="625">
        <f>Levykirjasto!AC19</f>
        <v>0</v>
      </c>
      <c r="W20" s="626">
        <f t="shared" si="4"/>
        <v>0</v>
      </c>
      <c r="X20" s="621">
        <f t="shared" si="1"/>
        <v>0</v>
      </c>
      <c r="Y20" s="627">
        <f t="shared" si="2"/>
        <v>0</v>
      </c>
      <c r="Z20" s="621">
        <f>Levykirjasto!M19</f>
        <v>0</v>
      </c>
      <c r="AA20" s="221">
        <f>Levykirjasto!H19</f>
        <v>0</v>
      </c>
      <c r="AB20" s="221">
        <f>Levykirjasto!I19</f>
        <v>0</v>
      </c>
      <c r="AC20" s="378">
        <f>Levykirjasto!L19</f>
        <v>0</v>
      </c>
    </row>
    <row r="21" spans="2:29" ht="12.75">
      <c r="B21" s="621">
        <v>9</v>
      </c>
      <c r="C21" s="622" t="str">
        <f>Levykirjasto!F20</f>
        <v>OMA</v>
      </c>
      <c r="D21" s="622"/>
      <c r="E21" s="623"/>
      <c r="F21" s="623"/>
      <c r="G21" s="623"/>
      <c r="H21" s="623"/>
      <c r="I21" s="879" t="str">
        <f>Levykirjasto!E20</f>
        <v>Havuvanerilevy / Kerto-Q-levy</v>
      </c>
      <c r="J21" s="868"/>
      <c r="K21" s="868"/>
      <c r="L21" s="869"/>
      <c r="M21" s="624">
        <f>Levykirjasto!G20</f>
        <v>0</v>
      </c>
      <c r="N21" s="625">
        <v>1000</v>
      </c>
      <c r="O21" s="626">
        <f>Levykirjasto!J20</f>
        <v>0</v>
      </c>
      <c r="P21" s="625">
        <f>Levykirjasto!K20</f>
        <v>0</v>
      </c>
      <c r="Q21" s="625">
        <f t="shared" si="0"/>
        <v>0</v>
      </c>
      <c r="R21" s="621">
        <f t="shared" si="3"/>
        <v>0</v>
      </c>
      <c r="S21" s="626">
        <v>0</v>
      </c>
      <c r="T21" s="625">
        <v>0</v>
      </c>
      <c r="U21" s="625">
        <v>0</v>
      </c>
      <c r="V21" s="625">
        <f>Levykirjasto!AC20</f>
        <v>0</v>
      </c>
      <c r="W21" s="626">
        <f t="shared" si="4"/>
        <v>0</v>
      </c>
      <c r="X21" s="621">
        <f t="shared" si="1"/>
        <v>0</v>
      </c>
      <c r="Y21" s="627">
        <f t="shared" si="2"/>
        <v>0</v>
      </c>
      <c r="Z21" s="621">
        <f>Levykirjasto!M20</f>
        <v>0</v>
      </c>
      <c r="AA21" s="221">
        <f>Levykirjasto!H20</f>
        <v>0</v>
      </c>
      <c r="AB21" s="221">
        <f>Levykirjasto!I20</f>
        <v>0</v>
      </c>
      <c r="AC21" s="378">
        <f>Levykirjasto!L20</f>
        <v>0</v>
      </c>
    </row>
    <row r="22" spans="2:29" ht="12.75">
      <c r="B22" s="621">
        <v>10</v>
      </c>
      <c r="C22" s="622" t="str">
        <f>Levykirjasto!F21</f>
        <v>OMA</v>
      </c>
      <c r="D22" s="622"/>
      <c r="E22" s="623"/>
      <c r="F22" s="623"/>
      <c r="G22" s="623"/>
      <c r="H22" s="623"/>
      <c r="I22" s="879" t="str">
        <f>Levykirjasto!E21</f>
        <v>Havuvanerilevy / Kerto-Q-levy</v>
      </c>
      <c r="J22" s="868"/>
      <c r="K22" s="868"/>
      <c r="L22" s="869"/>
      <c r="M22" s="624">
        <f>Levykirjasto!G21</f>
        <v>0</v>
      </c>
      <c r="N22" s="625">
        <v>1000</v>
      </c>
      <c r="O22" s="626">
        <f>Levykirjasto!J21</f>
        <v>0</v>
      </c>
      <c r="P22" s="625">
        <f>Levykirjasto!K21</f>
        <v>0</v>
      </c>
      <c r="Q22" s="625">
        <f t="shared" si="0"/>
        <v>0</v>
      </c>
      <c r="R22" s="621">
        <f t="shared" si="3"/>
        <v>0</v>
      </c>
      <c r="S22" s="626">
        <v>0</v>
      </c>
      <c r="T22" s="625">
        <v>0</v>
      </c>
      <c r="U22" s="625">
        <v>0</v>
      </c>
      <c r="V22" s="625">
        <f>Levykirjasto!AC21</f>
        <v>0</v>
      </c>
      <c r="W22" s="626">
        <f t="shared" si="4"/>
        <v>0</v>
      </c>
      <c r="X22" s="621">
        <f t="shared" si="1"/>
        <v>0</v>
      </c>
      <c r="Y22" s="627">
        <f t="shared" si="2"/>
        <v>0</v>
      </c>
      <c r="Z22" s="621">
        <f>Levykirjasto!M21</f>
        <v>0</v>
      </c>
      <c r="AA22" s="221">
        <f>Levykirjasto!H21</f>
        <v>0</v>
      </c>
      <c r="AB22" s="221">
        <f>Levykirjasto!I21</f>
        <v>0</v>
      </c>
      <c r="AC22" s="378">
        <f>Levykirjasto!L21</f>
        <v>0</v>
      </c>
    </row>
    <row r="23" spans="2:29" ht="12.75">
      <c r="B23" s="621">
        <v>11</v>
      </c>
      <c r="C23" s="622" t="str">
        <f>Levykirjasto!F22</f>
        <v>OMA</v>
      </c>
      <c r="D23" s="622"/>
      <c r="E23" s="623"/>
      <c r="F23" s="623"/>
      <c r="G23" s="623"/>
      <c r="H23" s="623"/>
      <c r="I23" s="879" t="str">
        <f>Levykirjasto!E22</f>
        <v>Havuvanerilevy / Kerto-Q-levy</v>
      </c>
      <c r="J23" s="868"/>
      <c r="K23" s="868"/>
      <c r="L23" s="869"/>
      <c r="M23" s="624">
        <f>Levykirjasto!G22</f>
        <v>0</v>
      </c>
      <c r="N23" s="625">
        <v>1000</v>
      </c>
      <c r="O23" s="626">
        <f>Levykirjasto!J22</f>
        <v>0</v>
      </c>
      <c r="P23" s="625">
        <f>Levykirjasto!K22</f>
        <v>0</v>
      </c>
      <c r="Q23" s="625">
        <f t="shared" si="0"/>
        <v>0</v>
      </c>
      <c r="R23" s="621">
        <f t="shared" si="3"/>
        <v>0</v>
      </c>
      <c r="S23" s="626">
        <v>0</v>
      </c>
      <c r="T23" s="625">
        <v>0</v>
      </c>
      <c r="U23" s="625">
        <v>0</v>
      </c>
      <c r="V23" s="625">
        <f>Levykirjasto!AC22</f>
        <v>0</v>
      </c>
      <c r="W23" s="626">
        <f t="shared" si="4"/>
        <v>0</v>
      </c>
      <c r="X23" s="621">
        <f t="shared" si="1"/>
        <v>0</v>
      </c>
      <c r="Y23" s="627">
        <f t="shared" si="2"/>
        <v>0</v>
      </c>
      <c r="Z23" s="621">
        <f>Levykirjasto!M22</f>
        <v>0</v>
      </c>
      <c r="AA23" s="221">
        <f>Levykirjasto!H22</f>
        <v>0</v>
      </c>
      <c r="AB23" s="221">
        <f>Levykirjasto!I22</f>
        <v>0</v>
      </c>
      <c r="AC23" s="378">
        <f>Levykirjasto!L22</f>
        <v>0</v>
      </c>
    </row>
    <row r="24" spans="2:29" ht="12.75">
      <c r="B24" s="621">
        <v>12</v>
      </c>
      <c r="C24" s="622" t="str">
        <f>Levykirjasto!F23</f>
        <v>OMA</v>
      </c>
      <c r="D24" s="622"/>
      <c r="E24" s="623"/>
      <c r="F24" s="623"/>
      <c r="G24" s="623"/>
      <c r="H24" s="623"/>
      <c r="I24" s="879" t="str">
        <f>Levykirjasto!E23</f>
        <v>Havuvanerilevy / Kerto-Q-levy</v>
      </c>
      <c r="J24" s="868"/>
      <c r="K24" s="868"/>
      <c r="L24" s="869"/>
      <c r="M24" s="624">
        <f>Levykirjasto!G23</f>
        <v>0</v>
      </c>
      <c r="N24" s="625">
        <v>1000</v>
      </c>
      <c r="O24" s="626">
        <f>Levykirjasto!J23</f>
        <v>0</v>
      </c>
      <c r="P24" s="625">
        <f>Levykirjasto!K23</f>
        <v>0</v>
      </c>
      <c r="Q24" s="625">
        <f t="shared" si="0"/>
        <v>0</v>
      </c>
      <c r="R24" s="621">
        <f t="shared" si="3"/>
        <v>0</v>
      </c>
      <c r="S24" s="626">
        <v>0</v>
      </c>
      <c r="T24" s="625">
        <v>0</v>
      </c>
      <c r="U24" s="625">
        <v>0</v>
      </c>
      <c r="V24" s="625">
        <f>Levykirjasto!AC23</f>
        <v>0</v>
      </c>
      <c r="W24" s="626">
        <f t="shared" si="4"/>
        <v>0</v>
      </c>
      <c r="X24" s="621">
        <f t="shared" si="1"/>
        <v>0</v>
      </c>
      <c r="Y24" s="627">
        <f t="shared" si="2"/>
        <v>0</v>
      </c>
      <c r="Z24" s="632">
        <f>Levykirjasto!M23</f>
        <v>0</v>
      </c>
      <c r="AA24" s="221">
        <f>Levykirjasto!H23</f>
        <v>0</v>
      </c>
      <c r="AB24" s="221">
        <f>Levykirjasto!I23</f>
        <v>0</v>
      </c>
      <c r="AC24" s="378">
        <f>Levykirjasto!L23</f>
        <v>0</v>
      </c>
    </row>
    <row r="25" spans="2:29" ht="12.75">
      <c r="B25" s="621">
        <v>13</v>
      </c>
      <c r="C25" s="622" t="str">
        <f>Levykirjasto!F24</f>
        <v>Lastulevy P6 - 22 - (2400) x 600 / 1200</v>
      </c>
      <c r="D25" s="622"/>
      <c r="E25" s="623"/>
      <c r="F25" s="623"/>
      <c r="G25" s="623"/>
      <c r="H25" s="623"/>
      <c r="I25" s="879" t="str">
        <f>Levykirjasto!E24</f>
        <v>Lastulevy P6 / P7</v>
      </c>
      <c r="J25" s="868"/>
      <c r="K25" s="868"/>
      <c r="L25" s="869"/>
      <c r="M25" s="624">
        <f>Levykirjasto!G24</f>
        <v>22</v>
      </c>
      <c r="N25" s="625">
        <v>1000</v>
      </c>
      <c r="O25" s="626">
        <f>Levykirjasto!J24</f>
        <v>3500</v>
      </c>
      <c r="P25" s="625">
        <f>Levykirjasto!K24</f>
        <v>3500</v>
      </c>
      <c r="Q25" s="625">
        <f t="shared" si="0"/>
        <v>887333.3333333334</v>
      </c>
      <c r="R25" s="621">
        <f t="shared" si="3"/>
        <v>3105666.666666667</v>
      </c>
      <c r="S25" s="626">
        <v>0</v>
      </c>
      <c r="T25" s="625">
        <v>0</v>
      </c>
      <c r="U25" s="625">
        <v>0</v>
      </c>
      <c r="V25" s="625">
        <f>Levykirjasto!AC24</f>
        <v>0</v>
      </c>
      <c r="W25" s="626">
        <f t="shared" si="4"/>
        <v>0</v>
      </c>
      <c r="X25" s="621">
        <f t="shared" si="1"/>
        <v>0</v>
      </c>
      <c r="Y25" s="627">
        <f t="shared" si="2"/>
        <v>3105666.666666667</v>
      </c>
      <c r="Z25" s="514"/>
      <c r="AA25" s="221">
        <f>Levykirjasto!H24</f>
        <v>2100</v>
      </c>
      <c r="AB25" s="221">
        <f>Levykirjasto!I24</f>
        <v>2100</v>
      </c>
      <c r="AC25" s="378">
        <f>Levykirjasto!L24</f>
        <v>650</v>
      </c>
    </row>
    <row r="26" spans="2:29" ht="12.75">
      <c r="B26" s="621">
        <v>14</v>
      </c>
      <c r="C26" s="622" t="str">
        <f>Levykirjasto!F25</f>
        <v>Lastulevy P6 - 30 - (2400) x 600 / 1200</v>
      </c>
      <c r="D26" s="622"/>
      <c r="E26" s="623"/>
      <c r="F26" s="623"/>
      <c r="G26" s="623"/>
      <c r="H26" s="623"/>
      <c r="I26" s="879" t="str">
        <f>Levykirjasto!E25</f>
        <v>Lastulevy P6 / P7</v>
      </c>
      <c r="J26" s="868"/>
      <c r="K26" s="868"/>
      <c r="L26" s="869"/>
      <c r="M26" s="624">
        <f>Levykirjasto!G25</f>
        <v>30</v>
      </c>
      <c r="N26" s="625">
        <v>1000</v>
      </c>
      <c r="O26" s="626">
        <f>Levykirjasto!J25</f>
        <v>3300</v>
      </c>
      <c r="P26" s="625">
        <f>Levykirjasto!K25</f>
        <v>3300</v>
      </c>
      <c r="Q26" s="625">
        <f t="shared" si="0"/>
        <v>2250000</v>
      </c>
      <c r="R26" s="621">
        <f t="shared" si="3"/>
        <v>7425000</v>
      </c>
      <c r="S26" s="626">
        <v>0</v>
      </c>
      <c r="T26" s="625">
        <v>0</v>
      </c>
      <c r="U26" s="625">
        <v>0</v>
      </c>
      <c r="V26" s="625">
        <f>Levykirjasto!AC25</f>
        <v>0</v>
      </c>
      <c r="W26" s="626">
        <f t="shared" si="4"/>
        <v>0</v>
      </c>
      <c r="X26" s="621">
        <f t="shared" si="1"/>
        <v>0</v>
      </c>
      <c r="Y26" s="627">
        <f t="shared" si="2"/>
        <v>7425000</v>
      </c>
      <c r="Z26" s="515"/>
      <c r="AA26" s="221">
        <f>Levykirjasto!H25</f>
        <v>1900</v>
      </c>
      <c r="AB26" s="221">
        <f>Levykirjasto!I25</f>
        <v>1900</v>
      </c>
      <c r="AC26" s="378">
        <f>Levykirjasto!L25</f>
        <v>650</v>
      </c>
    </row>
    <row r="27" spans="2:29" ht="12.75">
      <c r="B27" s="621">
        <v>15</v>
      </c>
      <c r="C27" s="622" t="str">
        <f>Levykirjasto!F26</f>
        <v>OMA</v>
      </c>
      <c r="D27" s="622"/>
      <c r="E27" s="623"/>
      <c r="F27" s="623"/>
      <c r="G27" s="623"/>
      <c r="H27" s="623"/>
      <c r="I27" s="879" t="str">
        <f>Levykirjasto!E26</f>
        <v>Lastulevy P6 / P7</v>
      </c>
      <c r="J27" s="868"/>
      <c r="K27" s="868"/>
      <c r="L27" s="869"/>
      <c r="M27" s="624">
        <f>Levykirjasto!G26</f>
        <v>0</v>
      </c>
      <c r="N27" s="625">
        <v>1000</v>
      </c>
      <c r="O27" s="626">
        <f>Levykirjasto!J26</f>
        <v>0</v>
      </c>
      <c r="P27" s="625">
        <f>Levykirjasto!K26</f>
        <v>0</v>
      </c>
      <c r="Q27" s="625">
        <f t="shared" si="0"/>
        <v>0</v>
      </c>
      <c r="R27" s="621">
        <f t="shared" si="3"/>
        <v>0</v>
      </c>
      <c r="S27" s="626">
        <v>0</v>
      </c>
      <c r="T27" s="625">
        <v>0</v>
      </c>
      <c r="U27" s="625">
        <v>0</v>
      </c>
      <c r="V27" s="625">
        <f>Levykirjasto!AC26</f>
        <v>0</v>
      </c>
      <c r="W27" s="626">
        <f t="shared" si="4"/>
        <v>0</v>
      </c>
      <c r="X27" s="621">
        <f t="shared" si="1"/>
        <v>0</v>
      </c>
      <c r="Y27" s="627">
        <f t="shared" si="2"/>
        <v>0</v>
      </c>
      <c r="Z27" s="515"/>
      <c r="AA27" s="221">
        <f>Levykirjasto!H26</f>
        <v>0</v>
      </c>
      <c r="AB27" s="221">
        <f>Levykirjasto!I26</f>
        <v>0</v>
      </c>
      <c r="AC27" s="378">
        <f>Levykirjasto!L26</f>
        <v>0</v>
      </c>
    </row>
    <row r="28" spans="2:29" ht="12.75">
      <c r="B28" s="621">
        <v>16</v>
      </c>
      <c r="C28" s="622" t="str">
        <f>Levykirjasto!F27</f>
        <v>OMA</v>
      </c>
      <c r="D28" s="622"/>
      <c r="E28" s="623"/>
      <c r="F28" s="623"/>
      <c r="G28" s="623"/>
      <c r="H28" s="623"/>
      <c r="I28" s="879" t="str">
        <f>Levykirjasto!E27</f>
        <v>Lastulevy P6 / P7</v>
      </c>
      <c r="J28" s="868"/>
      <c r="K28" s="868"/>
      <c r="L28" s="869"/>
      <c r="M28" s="624">
        <f>Levykirjasto!G27</f>
        <v>0</v>
      </c>
      <c r="N28" s="625">
        <v>1000</v>
      </c>
      <c r="O28" s="626">
        <f>Levykirjasto!J27</f>
        <v>0</v>
      </c>
      <c r="P28" s="625">
        <f>Levykirjasto!K27</f>
        <v>0</v>
      </c>
      <c r="Q28" s="625">
        <f t="shared" si="0"/>
        <v>0</v>
      </c>
      <c r="R28" s="621">
        <f t="shared" si="3"/>
        <v>0</v>
      </c>
      <c r="S28" s="626">
        <v>0</v>
      </c>
      <c r="T28" s="625">
        <v>0</v>
      </c>
      <c r="U28" s="625">
        <v>0</v>
      </c>
      <c r="V28" s="625">
        <f>Levykirjasto!AC27</f>
        <v>0</v>
      </c>
      <c r="W28" s="626">
        <f t="shared" si="4"/>
        <v>0</v>
      </c>
      <c r="X28" s="621">
        <f t="shared" si="1"/>
        <v>0</v>
      </c>
      <c r="Y28" s="627">
        <f t="shared" si="2"/>
        <v>0</v>
      </c>
      <c r="Z28" s="515"/>
      <c r="AA28" s="221">
        <f>Levykirjasto!H27</f>
        <v>0</v>
      </c>
      <c r="AB28" s="221">
        <f>Levykirjasto!I27</f>
        <v>0</v>
      </c>
      <c r="AC28" s="378">
        <f>Levykirjasto!L27</f>
        <v>0</v>
      </c>
    </row>
    <row r="29" spans="2:29" ht="12.75">
      <c r="B29" s="621">
        <v>17</v>
      </c>
      <c r="C29" s="622" t="str">
        <f>Levykirjasto!F28</f>
        <v>OMA</v>
      </c>
      <c r="D29" s="622"/>
      <c r="E29" s="623"/>
      <c r="F29" s="623"/>
      <c r="G29" s="623"/>
      <c r="H29" s="623"/>
      <c r="I29" s="879" t="str">
        <f>Levykirjasto!E28</f>
        <v>Lastulevy P6 / P7</v>
      </c>
      <c r="J29" s="868"/>
      <c r="K29" s="868"/>
      <c r="L29" s="869"/>
      <c r="M29" s="624">
        <f>Levykirjasto!G28</f>
        <v>0</v>
      </c>
      <c r="N29" s="625">
        <v>1000</v>
      </c>
      <c r="O29" s="626">
        <f>Levykirjasto!J28</f>
        <v>0</v>
      </c>
      <c r="P29" s="625">
        <f>Levykirjasto!K28</f>
        <v>0</v>
      </c>
      <c r="Q29" s="625">
        <f t="shared" si="0"/>
        <v>0</v>
      </c>
      <c r="R29" s="621">
        <f t="shared" si="3"/>
        <v>0</v>
      </c>
      <c r="S29" s="626">
        <v>0</v>
      </c>
      <c r="T29" s="625">
        <v>0</v>
      </c>
      <c r="U29" s="625">
        <v>0</v>
      </c>
      <c r="V29" s="625">
        <f>Levykirjasto!AC28</f>
        <v>0</v>
      </c>
      <c r="W29" s="626">
        <f t="shared" si="4"/>
        <v>0</v>
      </c>
      <c r="X29" s="621">
        <f t="shared" si="1"/>
        <v>0</v>
      </c>
      <c r="Y29" s="627">
        <f t="shared" si="2"/>
        <v>0</v>
      </c>
      <c r="Z29" s="515"/>
      <c r="AA29" s="221">
        <f>Levykirjasto!H28</f>
        <v>0</v>
      </c>
      <c r="AB29" s="221">
        <f>Levykirjasto!I28</f>
        <v>0</v>
      </c>
      <c r="AC29" s="378">
        <f>Levykirjasto!L28</f>
        <v>0</v>
      </c>
    </row>
    <row r="30" spans="2:29" ht="12.75">
      <c r="B30" s="621">
        <v>18</v>
      </c>
      <c r="C30" s="622" t="str">
        <f>Levykirjasto!F29</f>
        <v>OMA</v>
      </c>
      <c r="D30" s="622"/>
      <c r="E30" s="623"/>
      <c r="F30" s="623"/>
      <c r="G30" s="623"/>
      <c r="H30" s="623"/>
      <c r="I30" s="879" t="str">
        <f>Levykirjasto!E29</f>
        <v>Lastulevy P6 / P7</v>
      </c>
      <c r="J30" s="868"/>
      <c r="K30" s="868"/>
      <c r="L30" s="869"/>
      <c r="M30" s="624">
        <f>Levykirjasto!G29</f>
        <v>0</v>
      </c>
      <c r="N30" s="625">
        <v>1000</v>
      </c>
      <c r="O30" s="626">
        <f>Levykirjasto!J29</f>
        <v>0</v>
      </c>
      <c r="P30" s="625">
        <f>Levykirjasto!K29</f>
        <v>0</v>
      </c>
      <c r="Q30" s="625">
        <f t="shared" si="0"/>
        <v>0</v>
      </c>
      <c r="R30" s="621">
        <f t="shared" si="3"/>
        <v>0</v>
      </c>
      <c r="S30" s="626">
        <v>0</v>
      </c>
      <c r="T30" s="625">
        <v>0</v>
      </c>
      <c r="U30" s="625">
        <v>0</v>
      </c>
      <c r="V30" s="625">
        <f>Levykirjasto!AC29</f>
        <v>0</v>
      </c>
      <c r="W30" s="626">
        <f t="shared" si="4"/>
        <v>0</v>
      </c>
      <c r="X30" s="621">
        <f t="shared" si="1"/>
        <v>0</v>
      </c>
      <c r="Y30" s="627">
        <f t="shared" si="2"/>
        <v>0</v>
      </c>
      <c r="Z30" s="515"/>
      <c r="AA30" s="221">
        <f>Levykirjasto!H29</f>
        <v>0</v>
      </c>
      <c r="AB30" s="221">
        <f>Levykirjasto!I29</f>
        <v>0</v>
      </c>
      <c r="AC30" s="378">
        <f>Levykirjasto!L29</f>
        <v>0</v>
      </c>
    </row>
    <row r="31" spans="2:29" ht="12.75">
      <c r="B31" s="621">
        <v>19</v>
      </c>
      <c r="C31" s="622" t="str">
        <f>Levykirjasto!F30</f>
        <v>OMA</v>
      </c>
      <c r="D31" s="622"/>
      <c r="E31" s="623"/>
      <c r="F31" s="623"/>
      <c r="G31" s="623"/>
      <c r="H31" s="623"/>
      <c r="I31" s="879" t="str">
        <f>Levykirjasto!E30</f>
        <v>Lastulevy P6 / P7</v>
      </c>
      <c r="J31" s="868"/>
      <c r="K31" s="868"/>
      <c r="L31" s="869"/>
      <c r="M31" s="624">
        <f>Levykirjasto!G30</f>
        <v>0</v>
      </c>
      <c r="N31" s="625">
        <v>1000</v>
      </c>
      <c r="O31" s="626">
        <f>Levykirjasto!J30</f>
        <v>0</v>
      </c>
      <c r="P31" s="625">
        <f>Levykirjasto!K30</f>
        <v>0</v>
      </c>
      <c r="Q31" s="625">
        <f t="shared" si="0"/>
        <v>0</v>
      </c>
      <c r="R31" s="621">
        <f t="shared" si="3"/>
        <v>0</v>
      </c>
      <c r="S31" s="626">
        <v>0</v>
      </c>
      <c r="T31" s="625">
        <v>0</v>
      </c>
      <c r="U31" s="625">
        <v>0</v>
      </c>
      <c r="V31" s="625">
        <f>Levykirjasto!AC30</f>
        <v>0</v>
      </c>
      <c r="W31" s="626">
        <f t="shared" si="4"/>
        <v>0</v>
      </c>
      <c r="X31" s="621">
        <f t="shared" si="1"/>
        <v>0</v>
      </c>
      <c r="Y31" s="627">
        <f t="shared" si="2"/>
        <v>0</v>
      </c>
      <c r="Z31" s="515"/>
      <c r="AA31" s="221">
        <f>Levykirjasto!H30</f>
        <v>0</v>
      </c>
      <c r="AB31" s="221">
        <f>Levykirjasto!I30</f>
        <v>0</v>
      </c>
      <c r="AC31" s="378">
        <f>Levykirjasto!L30</f>
        <v>0</v>
      </c>
    </row>
    <row r="32" spans="2:29" ht="12.75">
      <c r="B32" s="621">
        <v>20</v>
      </c>
      <c r="C32" s="622" t="str">
        <f>Levykirjasto!F31</f>
        <v>OSB / 4 - 18 - (2400) x 600 / 1200</v>
      </c>
      <c r="D32" s="622"/>
      <c r="E32" s="623"/>
      <c r="F32" s="623"/>
      <c r="G32" s="623"/>
      <c r="H32" s="623"/>
      <c r="I32" s="879" t="str">
        <f>Levykirjasto!E31</f>
        <v>OSB / 4</v>
      </c>
      <c r="J32" s="868"/>
      <c r="K32" s="868"/>
      <c r="L32" s="869"/>
      <c r="M32" s="624">
        <f>Levykirjasto!G31</f>
        <v>18</v>
      </c>
      <c r="N32" s="625">
        <v>1000</v>
      </c>
      <c r="O32" s="626">
        <f>Levykirjasto!J31</f>
        <v>2680</v>
      </c>
      <c r="P32" s="625">
        <f>Levykirjasto!K31</f>
        <v>6780</v>
      </c>
      <c r="Q32" s="625">
        <f t="shared" si="0"/>
        <v>486000</v>
      </c>
      <c r="R32" s="621">
        <f t="shared" si="3"/>
        <v>3295080</v>
      </c>
      <c r="S32" s="626">
        <v>0</v>
      </c>
      <c r="T32" s="625">
        <v>0</v>
      </c>
      <c r="U32" s="625">
        <v>0</v>
      </c>
      <c r="V32" s="625">
        <f>Levykirjasto!AC31</f>
        <v>0</v>
      </c>
      <c r="W32" s="626">
        <f t="shared" si="4"/>
        <v>0</v>
      </c>
      <c r="X32" s="621">
        <f t="shared" si="1"/>
        <v>0</v>
      </c>
      <c r="Y32" s="627">
        <f t="shared" si="2"/>
        <v>3295080</v>
      </c>
      <c r="Z32" s="515"/>
      <c r="AA32" s="221">
        <f>Levykirjasto!H31</f>
        <v>3200</v>
      </c>
      <c r="AB32" s="221">
        <f>Levykirjasto!I31</f>
        <v>4300</v>
      </c>
      <c r="AC32" s="378">
        <f>Levykirjasto!L31</f>
        <v>650</v>
      </c>
    </row>
    <row r="33" spans="2:29" ht="12.75">
      <c r="B33" s="621">
        <v>21</v>
      </c>
      <c r="C33" s="622" t="str">
        <f>Levykirjasto!F32</f>
        <v>OSB / 4 - 20 - (2400) x 600 / 1201</v>
      </c>
      <c r="D33" s="622"/>
      <c r="E33" s="623"/>
      <c r="F33" s="623"/>
      <c r="G33" s="623"/>
      <c r="H33" s="623"/>
      <c r="I33" s="879" t="str">
        <f>Levykirjasto!E32</f>
        <v>OSB / 4</v>
      </c>
      <c r="J33" s="868"/>
      <c r="K33" s="868"/>
      <c r="L33" s="869"/>
      <c r="M33" s="624">
        <f>Levykirjasto!G32</f>
        <v>20</v>
      </c>
      <c r="N33" s="625">
        <v>1000</v>
      </c>
      <c r="O33" s="626">
        <f>Levykirjasto!J32</f>
        <v>2680</v>
      </c>
      <c r="P33" s="625">
        <f>Levykirjasto!K32</f>
        <v>6780</v>
      </c>
      <c r="Q33" s="625">
        <f t="shared" si="0"/>
        <v>666666.6666666666</v>
      </c>
      <c r="R33" s="621">
        <f t="shared" si="3"/>
        <v>4520000</v>
      </c>
      <c r="S33" s="626">
        <v>0</v>
      </c>
      <c r="T33" s="625">
        <v>0</v>
      </c>
      <c r="U33" s="625">
        <v>0</v>
      </c>
      <c r="V33" s="625">
        <f>Levykirjasto!AC32</f>
        <v>0</v>
      </c>
      <c r="W33" s="626">
        <f t="shared" si="4"/>
        <v>0</v>
      </c>
      <c r="X33" s="621">
        <f t="shared" si="1"/>
        <v>0</v>
      </c>
      <c r="Y33" s="627">
        <f t="shared" si="2"/>
        <v>4520000</v>
      </c>
      <c r="Z33" s="515"/>
      <c r="AA33" s="221">
        <f>Levykirjasto!H32</f>
        <v>3200</v>
      </c>
      <c r="AB33" s="221">
        <f>Levykirjasto!I32</f>
        <v>4300</v>
      </c>
      <c r="AC33" s="378">
        <f>Levykirjasto!L32</f>
        <v>650</v>
      </c>
    </row>
    <row r="34" spans="2:29" ht="12.75">
      <c r="B34" s="621">
        <v>22</v>
      </c>
      <c r="C34" s="622" t="str">
        <f>Levykirjasto!F33</f>
        <v>OSB / 4 - 22 - (2400) x 600 / 1202</v>
      </c>
      <c r="D34" s="622"/>
      <c r="E34" s="623"/>
      <c r="F34" s="623"/>
      <c r="G34" s="623"/>
      <c r="H34" s="623"/>
      <c r="I34" s="879" t="str">
        <f>Levykirjasto!E33</f>
        <v>OSB / 4</v>
      </c>
      <c r="J34" s="868"/>
      <c r="K34" s="868"/>
      <c r="L34" s="869"/>
      <c r="M34" s="624">
        <f>Levykirjasto!G33</f>
        <v>22</v>
      </c>
      <c r="N34" s="625">
        <v>1000</v>
      </c>
      <c r="O34" s="626">
        <f>Levykirjasto!J33</f>
        <v>2680</v>
      </c>
      <c r="P34" s="625">
        <f>Levykirjasto!K33</f>
        <v>6780</v>
      </c>
      <c r="Q34" s="625">
        <f t="shared" si="0"/>
        <v>887333.3333333334</v>
      </c>
      <c r="R34" s="621">
        <f t="shared" si="3"/>
        <v>6016120</v>
      </c>
      <c r="S34" s="626">
        <v>0</v>
      </c>
      <c r="T34" s="625">
        <v>0</v>
      </c>
      <c r="U34" s="625">
        <v>0</v>
      </c>
      <c r="V34" s="625">
        <f>Levykirjasto!AC33</f>
        <v>0</v>
      </c>
      <c r="W34" s="626">
        <f t="shared" si="4"/>
        <v>0</v>
      </c>
      <c r="X34" s="621">
        <f t="shared" si="1"/>
        <v>0</v>
      </c>
      <c r="Y34" s="627">
        <f t="shared" si="2"/>
        <v>6016120</v>
      </c>
      <c r="Z34" s="515"/>
      <c r="AA34" s="221">
        <f>Levykirjasto!H33</f>
        <v>3200</v>
      </c>
      <c r="AB34" s="221">
        <f>Levykirjasto!I33</f>
        <v>4300</v>
      </c>
      <c r="AC34" s="378">
        <f>Levykirjasto!L33</f>
        <v>650</v>
      </c>
    </row>
    <row r="35" spans="2:29" ht="12.75">
      <c r="B35" s="621">
        <v>23</v>
      </c>
      <c r="C35" s="622" t="str">
        <f>Levykirjasto!F34</f>
        <v>OSB / 4 - 25 - (2400) x 600 / 1203</v>
      </c>
      <c r="D35" s="622"/>
      <c r="E35" s="623"/>
      <c r="F35" s="623"/>
      <c r="G35" s="623"/>
      <c r="H35" s="623"/>
      <c r="I35" s="879" t="str">
        <f>Levykirjasto!E34</f>
        <v>OSB / 4</v>
      </c>
      <c r="J35" s="868"/>
      <c r="K35" s="868"/>
      <c r="L35" s="869"/>
      <c r="M35" s="624">
        <f>Levykirjasto!G34</f>
        <v>25</v>
      </c>
      <c r="N35" s="625">
        <v>1000</v>
      </c>
      <c r="O35" s="626">
        <f>Levykirjasto!J34</f>
        <v>2680</v>
      </c>
      <c r="P35" s="625">
        <f>Levykirjasto!K34</f>
        <v>6780</v>
      </c>
      <c r="Q35" s="625">
        <f t="shared" si="0"/>
        <v>1302083.3333333333</v>
      </c>
      <c r="R35" s="621">
        <f t="shared" si="3"/>
        <v>8828125</v>
      </c>
      <c r="S35" s="626">
        <v>0</v>
      </c>
      <c r="T35" s="625">
        <v>0</v>
      </c>
      <c r="U35" s="625">
        <v>0</v>
      </c>
      <c r="V35" s="625">
        <f>Levykirjasto!AC34</f>
        <v>0</v>
      </c>
      <c r="W35" s="626">
        <f t="shared" si="4"/>
        <v>0</v>
      </c>
      <c r="X35" s="621">
        <f t="shared" si="1"/>
        <v>0</v>
      </c>
      <c r="Y35" s="627">
        <f t="shared" si="2"/>
        <v>8828125</v>
      </c>
      <c r="Z35" s="515"/>
      <c r="AA35" s="221">
        <f>Levykirjasto!H34</f>
        <v>3200</v>
      </c>
      <c r="AB35" s="221">
        <f>Levykirjasto!I34</f>
        <v>4300</v>
      </c>
      <c r="AC35" s="378">
        <f>Levykirjasto!L34</f>
        <v>650</v>
      </c>
    </row>
    <row r="36" spans="2:29" ht="12.75">
      <c r="B36" s="621">
        <v>24</v>
      </c>
      <c r="C36" s="622" t="str">
        <f>Levykirjasto!F35</f>
        <v>OSB / 4 - 18 - (5000) x 2500 (Big Size)</v>
      </c>
      <c r="D36" s="622"/>
      <c r="E36" s="623"/>
      <c r="F36" s="623"/>
      <c r="G36" s="623"/>
      <c r="H36" s="623"/>
      <c r="I36" s="879" t="str">
        <f>Levykirjasto!E35</f>
        <v>OSB / 4</v>
      </c>
      <c r="J36" s="868"/>
      <c r="K36" s="868"/>
      <c r="L36" s="869"/>
      <c r="M36" s="624">
        <f>Levykirjasto!G35</f>
        <v>18</v>
      </c>
      <c r="N36" s="625">
        <v>1000</v>
      </c>
      <c r="O36" s="626">
        <f>Levykirjasto!J35</f>
        <v>6780</v>
      </c>
      <c r="P36" s="625">
        <f>Levykirjasto!K35</f>
        <v>2680</v>
      </c>
      <c r="Q36" s="625">
        <f t="shared" si="0"/>
        <v>486000</v>
      </c>
      <c r="R36" s="621">
        <f t="shared" si="3"/>
        <v>1302480</v>
      </c>
      <c r="S36" s="626">
        <v>0</v>
      </c>
      <c r="T36" s="625">
        <v>0</v>
      </c>
      <c r="U36" s="625">
        <v>0</v>
      </c>
      <c r="V36" s="625">
        <f>Levykirjasto!AC35</f>
        <v>0</v>
      </c>
      <c r="W36" s="626">
        <f t="shared" si="4"/>
        <v>0</v>
      </c>
      <c r="X36" s="621">
        <f t="shared" si="1"/>
        <v>0</v>
      </c>
      <c r="Y36" s="627">
        <f t="shared" si="2"/>
        <v>1302480</v>
      </c>
      <c r="Z36" s="515"/>
      <c r="AA36" s="221">
        <f>Levykirjasto!H35</f>
        <v>4300</v>
      </c>
      <c r="AB36" s="221">
        <f>Levykirjasto!I35</f>
        <v>3200</v>
      </c>
      <c r="AC36" s="378">
        <f>Levykirjasto!L35</f>
        <v>650</v>
      </c>
    </row>
    <row r="37" spans="2:29" ht="12.75">
      <c r="B37" s="621">
        <v>25</v>
      </c>
      <c r="C37" s="622" t="str">
        <f>Levykirjasto!F36</f>
        <v>OSB / 4 - 20 - (5000) x 2500 (Big Size)</v>
      </c>
      <c r="D37" s="622"/>
      <c r="E37" s="623"/>
      <c r="F37" s="623"/>
      <c r="G37" s="623"/>
      <c r="H37" s="623"/>
      <c r="I37" s="879" t="str">
        <f>Levykirjasto!E36</f>
        <v>OSB / 4</v>
      </c>
      <c r="J37" s="868"/>
      <c r="K37" s="868"/>
      <c r="L37" s="869"/>
      <c r="M37" s="624">
        <f>Levykirjasto!G36</f>
        <v>20</v>
      </c>
      <c r="N37" s="625">
        <v>1000</v>
      </c>
      <c r="O37" s="626">
        <f>Levykirjasto!J36</f>
        <v>6780</v>
      </c>
      <c r="P37" s="625">
        <f>Levykirjasto!K36</f>
        <v>2680</v>
      </c>
      <c r="Q37" s="625">
        <f t="shared" si="0"/>
        <v>666666.6666666666</v>
      </c>
      <c r="R37" s="621">
        <f t="shared" si="3"/>
        <v>1786666.6666666665</v>
      </c>
      <c r="S37" s="626">
        <v>0</v>
      </c>
      <c r="T37" s="625">
        <v>0</v>
      </c>
      <c r="U37" s="625">
        <v>0</v>
      </c>
      <c r="V37" s="625">
        <f>Levykirjasto!AC36</f>
        <v>0</v>
      </c>
      <c r="W37" s="626">
        <f t="shared" si="4"/>
        <v>0</v>
      </c>
      <c r="X37" s="621">
        <f t="shared" si="1"/>
        <v>0</v>
      </c>
      <c r="Y37" s="627">
        <f t="shared" si="2"/>
        <v>1786666.6666666665</v>
      </c>
      <c r="Z37" s="515"/>
      <c r="AA37" s="221">
        <f>Levykirjasto!H36</f>
        <v>4300</v>
      </c>
      <c r="AB37" s="221">
        <f>Levykirjasto!I36</f>
        <v>3200</v>
      </c>
      <c r="AC37" s="378">
        <f>Levykirjasto!L36</f>
        <v>650</v>
      </c>
    </row>
    <row r="38" spans="2:29" ht="12.75">
      <c r="B38" s="621">
        <v>26</v>
      </c>
      <c r="C38" s="622" t="str">
        <f>Levykirjasto!F37</f>
        <v>OSB / 4 - 22 - (5000) x 2500 (Big Size)</v>
      </c>
      <c r="D38" s="622"/>
      <c r="E38" s="623"/>
      <c r="F38" s="623"/>
      <c r="G38" s="623"/>
      <c r="H38" s="623"/>
      <c r="I38" s="879" t="str">
        <f>Levykirjasto!E37</f>
        <v>OSB / 4</v>
      </c>
      <c r="J38" s="868"/>
      <c r="K38" s="868"/>
      <c r="L38" s="869"/>
      <c r="M38" s="624">
        <f>Levykirjasto!G37</f>
        <v>22</v>
      </c>
      <c r="N38" s="625">
        <v>1000</v>
      </c>
      <c r="O38" s="626">
        <f>Levykirjasto!J37</f>
        <v>6780</v>
      </c>
      <c r="P38" s="625">
        <f>Levykirjasto!K37</f>
        <v>2680</v>
      </c>
      <c r="Q38" s="625">
        <f t="shared" si="0"/>
        <v>887333.3333333334</v>
      </c>
      <c r="R38" s="621">
        <f t="shared" si="3"/>
        <v>2378053.3333333335</v>
      </c>
      <c r="S38" s="626">
        <v>0</v>
      </c>
      <c r="T38" s="625">
        <v>0</v>
      </c>
      <c r="U38" s="625">
        <v>0</v>
      </c>
      <c r="V38" s="625">
        <f>Levykirjasto!AC37</f>
        <v>0</v>
      </c>
      <c r="W38" s="626">
        <f t="shared" si="4"/>
        <v>0</v>
      </c>
      <c r="X38" s="621">
        <f t="shared" si="1"/>
        <v>0</v>
      </c>
      <c r="Y38" s="627">
        <f t="shared" si="2"/>
        <v>2378053.3333333335</v>
      </c>
      <c r="Z38" s="515"/>
      <c r="AA38" s="221">
        <f>Levykirjasto!H37</f>
        <v>4300</v>
      </c>
      <c r="AB38" s="221">
        <f>Levykirjasto!I37</f>
        <v>3200</v>
      </c>
      <c r="AC38" s="378">
        <f>Levykirjasto!L37</f>
        <v>650</v>
      </c>
    </row>
    <row r="39" spans="2:29" ht="12.75">
      <c r="B39" s="621">
        <v>27</v>
      </c>
      <c r="C39" s="622" t="str">
        <f>Levykirjasto!F38</f>
        <v>OSB / 4 - 25 - (5000) x 2500 (Big Size)</v>
      </c>
      <c r="D39" s="622"/>
      <c r="E39" s="623"/>
      <c r="F39" s="623"/>
      <c r="G39" s="623"/>
      <c r="H39" s="623"/>
      <c r="I39" s="879" t="str">
        <f>Levykirjasto!E38</f>
        <v>OSB / 4</v>
      </c>
      <c r="J39" s="868"/>
      <c r="K39" s="868"/>
      <c r="L39" s="869"/>
      <c r="M39" s="624">
        <f>Levykirjasto!G38</f>
        <v>25</v>
      </c>
      <c r="N39" s="625">
        <v>1000</v>
      </c>
      <c r="O39" s="626">
        <f>Levykirjasto!J38</f>
        <v>6780</v>
      </c>
      <c r="P39" s="625">
        <f>Levykirjasto!K38</f>
        <v>2680</v>
      </c>
      <c r="Q39" s="625">
        <f t="shared" si="0"/>
        <v>1302083.3333333333</v>
      </c>
      <c r="R39" s="621">
        <f t="shared" si="3"/>
        <v>3489583.333333333</v>
      </c>
      <c r="S39" s="626">
        <v>0</v>
      </c>
      <c r="T39" s="625">
        <v>0</v>
      </c>
      <c r="U39" s="625">
        <v>0</v>
      </c>
      <c r="V39" s="625">
        <f>Levykirjasto!AC38</f>
        <v>0</v>
      </c>
      <c r="W39" s="626">
        <f t="shared" si="4"/>
        <v>0</v>
      </c>
      <c r="X39" s="621">
        <f t="shared" si="1"/>
        <v>0</v>
      </c>
      <c r="Y39" s="627">
        <f t="shared" si="2"/>
        <v>3489583.333333333</v>
      </c>
      <c r="Z39" s="515"/>
      <c r="AA39" s="221">
        <f>Levykirjasto!H38</f>
        <v>4300</v>
      </c>
      <c r="AB39" s="221">
        <f>Levykirjasto!I38</f>
        <v>3200</v>
      </c>
      <c r="AC39" s="378">
        <f>Levykirjasto!L38</f>
        <v>650</v>
      </c>
    </row>
    <row r="40" spans="2:29" ht="12.75">
      <c r="B40" s="621">
        <v>28</v>
      </c>
      <c r="C40" s="622" t="str">
        <f>Levykirjasto!F39</f>
        <v>OMA</v>
      </c>
      <c r="D40" s="622"/>
      <c r="E40" s="623"/>
      <c r="F40" s="623"/>
      <c r="G40" s="623"/>
      <c r="H40" s="623"/>
      <c r="I40" s="879" t="str">
        <f>Levykirjasto!E39</f>
        <v>OSB / 4</v>
      </c>
      <c r="J40" s="868"/>
      <c r="K40" s="868"/>
      <c r="L40" s="869"/>
      <c r="M40" s="624">
        <f>Levykirjasto!G39</f>
        <v>0</v>
      </c>
      <c r="N40" s="625">
        <v>1000</v>
      </c>
      <c r="O40" s="626">
        <f>Levykirjasto!J39</f>
        <v>0</v>
      </c>
      <c r="P40" s="625">
        <f>Levykirjasto!K39</f>
        <v>0</v>
      </c>
      <c r="Q40" s="625">
        <f t="shared" si="0"/>
        <v>0</v>
      </c>
      <c r="R40" s="621">
        <f t="shared" si="3"/>
        <v>0</v>
      </c>
      <c r="S40" s="626">
        <v>0</v>
      </c>
      <c r="T40" s="625">
        <v>0</v>
      </c>
      <c r="U40" s="625">
        <v>0</v>
      </c>
      <c r="V40" s="625">
        <f>Levykirjasto!AC39</f>
        <v>0</v>
      </c>
      <c r="W40" s="626">
        <f t="shared" si="4"/>
        <v>0</v>
      </c>
      <c r="X40" s="621">
        <f t="shared" si="1"/>
        <v>0</v>
      </c>
      <c r="Y40" s="627">
        <f t="shared" si="2"/>
        <v>0</v>
      </c>
      <c r="Z40" s="515"/>
      <c r="AA40" s="221">
        <f>Levykirjasto!H39</f>
        <v>0</v>
      </c>
      <c r="AB40" s="221">
        <f>Levykirjasto!I39</f>
        <v>0</v>
      </c>
      <c r="AC40" s="378">
        <f>Levykirjasto!L39</f>
        <v>0</v>
      </c>
    </row>
    <row r="41" spans="2:29" ht="12.75">
      <c r="B41" s="621">
        <v>29</v>
      </c>
      <c r="C41" s="622" t="str">
        <f>Levykirjasto!F40</f>
        <v>OMA</v>
      </c>
      <c r="D41" s="622"/>
      <c r="E41" s="623"/>
      <c r="F41" s="623"/>
      <c r="G41" s="623"/>
      <c r="H41" s="623"/>
      <c r="I41" s="879" t="str">
        <f>Levykirjasto!E40</f>
        <v>OSB / 4</v>
      </c>
      <c r="J41" s="868"/>
      <c r="K41" s="868"/>
      <c r="L41" s="869"/>
      <c r="M41" s="624">
        <f>Levykirjasto!G40</f>
        <v>0</v>
      </c>
      <c r="N41" s="625">
        <v>1000</v>
      </c>
      <c r="O41" s="626">
        <f>Levykirjasto!J40</f>
        <v>0</v>
      </c>
      <c r="P41" s="625">
        <f>Levykirjasto!K40</f>
        <v>0</v>
      </c>
      <c r="Q41" s="625">
        <f t="shared" si="0"/>
        <v>0</v>
      </c>
      <c r="R41" s="621">
        <f t="shared" si="3"/>
        <v>0</v>
      </c>
      <c r="S41" s="626">
        <v>0</v>
      </c>
      <c r="T41" s="625">
        <v>0</v>
      </c>
      <c r="U41" s="625">
        <v>0</v>
      </c>
      <c r="V41" s="625">
        <f>Levykirjasto!AC40</f>
        <v>0</v>
      </c>
      <c r="W41" s="626">
        <f t="shared" si="4"/>
        <v>0</v>
      </c>
      <c r="X41" s="621">
        <f t="shared" si="1"/>
        <v>0</v>
      </c>
      <c r="Y41" s="627">
        <f t="shared" si="2"/>
        <v>0</v>
      </c>
      <c r="Z41" s="515"/>
      <c r="AA41" s="221">
        <f>Levykirjasto!H40</f>
        <v>0</v>
      </c>
      <c r="AB41" s="221">
        <f>Levykirjasto!I40</f>
        <v>0</v>
      </c>
      <c r="AC41" s="378">
        <f>Levykirjasto!L40</f>
        <v>0</v>
      </c>
    </row>
    <row r="42" spans="2:29" ht="12.75">
      <c r="B42" s="621">
        <v>30</v>
      </c>
      <c r="C42" s="622" t="str">
        <f>Levykirjasto!F41</f>
        <v>OMA</v>
      </c>
      <c r="D42" s="622"/>
      <c r="E42" s="623"/>
      <c r="F42" s="623"/>
      <c r="G42" s="623"/>
      <c r="H42" s="623"/>
      <c r="I42" s="879" t="str">
        <f>Levykirjasto!E41</f>
        <v>OSB / 4</v>
      </c>
      <c r="J42" s="868"/>
      <c r="K42" s="868"/>
      <c r="L42" s="869"/>
      <c r="M42" s="624">
        <f>Levykirjasto!G41</f>
        <v>0</v>
      </c>
      <c r="N42" s="625">
        <v>1000</v>
      </c>
      <c r="O42" s="626">
        <f>Levykirjasto!J41</f>
        <v>0</v>
      </c>
      <c r="P42" s="625">
        <f>Levykirjasto!K41</f>
        <v>0</v>
      </c>
      <c r="Q42" s="625">
        <f t="shared" si="0"/>
        <v>0</v>
      </c>
      <c r="R42" s="621">
        <f t="shared" si="3"/>
        <v>0</v>
      </c>
      <c r="S42" s="626">
        <v>0</v>
      </c>
      <c r="T42" s="625">
        <v>0</v>
      </c>
      <c r="U42" s="625">
        <v>0</v>
      </c>
      <c r="V42" s="625">
        <f>Levykirjasto!AC41</f>
        <v>0</v>
      </c>
      <c r="W42" s="626">
        <f t="shared" si="4"/>
        <v>0</v>
      </c>
      <c r="X42" s="621">
        <f t="shared" si="1"/>
        <v>0</v>
      </c>
      <c r="Y42" s="627">
        <f t="shared" si="2"/>
        <v>0</v>
      </c>
      <c r="Z42" s="515"/>
      <c r="AA42" s="221">
        <f>Levykirjasto!H41</f>
        <v>0</v>
      </c>
      <c r="AB42" s="221">
        <f>Levykirjasto!I41</f>
        <v>0</v>
      </c>
      <c r="AC42" s="378">
        <f>Levykirjasto!L41</f>
        <v>0</v>
      </c>
    </row>
    <row r="43" spans="2:29" ht="12.75">
      <c r="B43" s="621">
        <v>31</v>
      </c>
      <c r="C43" s="622" t="str">
        <f>Levykirjasto!F42</f>
        <v>OMA</v>
      </c>
      <c r="D43" s="622"/>
      <c r="E43" s="623"/>
      <c r="F43" s="623"/>
      <c r="G43" s="623"/>
      <c r="H43" s="623"/>
      <c r="I43" s="879" t="str">
        <f>Levykirjasto!E42</f>
        <v>OSB / 4</v>
      </c>
      <c r="J43" s="868"/>
      <c r="K43" s="868"/>
      <c r="L43" s="869"/>
      <c r="M43" s="624">
        <f>Levykirjasto!G42</f>
        <v>0</v>
      </c>
      <c r="N43" s="625">
        <v>1000</v>
      </c>
      <c r="O43" s="626">
        <f>Levykirjasto!J42</f>
        <v>0</v>
      </c>
      <c r="P43" s="625">
        <f>Levykirjasto!K42</f>
        <v>0</v>
      </c>
      <c r="Q43" s="625">
        <f t="shared" si="0"/>
        <v>0</v>
      </c>
      <c r="R43" s="621">
        <f t="shared" si="3"/>
        <v>0</v>
      </c>
      <c r="S43" s="626">
        <v>0</v>
      </c>
      <c r="T43" s="625">
        <v>0</v>
      </c>
      <c r="U43" s="625">
        <v>0</v>
      </c>
      <c r="V43" s="625">
        <f>Levykirjasto!AC42</f>
        <v>0</v>
      </c>
      <c r="W43" s="626">
        <f t="shared" si="4"/>
        <v>0</v>
      </c>
      <c r="X43" s="621">
        <f t="shared" si="1"/>
        <v>0</v>
      </c>
      <c r="Y43" s="627">
        <f t="shared" si="2"/>
        <v>0</v>
      </c>
      <c r="Z43" s="515"/>
      <c r="AA43" s="221">
        <f>Levykirjasto!H42</f>
        <v>0</v>
      </c>
      <c r="AB43" s="221">
        <f>Levykirjasto!I42</f>
        <v>0</v>
      </c>
      <c r="AC43" s="378">
        <f>Levykirjasto!L42</f>
        <v>0</v>
      </c>
    </row>
    <row r="44" spans="2:29" ht="12.75">
      <c r="B44" s="621">
        <v>32</v>
      </c>
      <c r="C44" s="622" t="str">
        <f>Levykirjasto!F43</f>
        <v>OMA</v>
      </c>
      <c r="D44" s="622"/>
      <c r="E44" s="623"/>
      <c r="F44" s="623"/>
      <c r="G44" s="623"/>
      <c r="H44" s="623"/>
      <c r="I44" s="879" t="str">
        <f>Levykirjasto!E43</f>
        <v>OSB / 4</v>
      </c>
      <c r="J44" s="868"/>
      <c r="K44" s="868"/>
      <c r="L44" s="869"/>
      <c r="M44" s="624">
        <f>Levykirjasto!G43</f>
        <v>0</v>
      </c>
      <c r="N44" s="625">
        <v>1000</v>
      </c>
      <c r="O44" s="626">
        <f>Levykirjasto!J43</f>
        <v>0</v>
      </c>
      <c r="P44" s="625">
        <f>Levykirjasto!K43</f>
        <v>0</v>
      </c>
      <c r="Q44" s="625">
        <f t="shared" si="0"/>
        <v>0</v>
      </c>
      <c r="R44" s="621">
        <f t="shared" si="3"/>
        <v>0</v>
      </c>
      <c r="S44" s="626">
        <v>0</v>
      </c>
      <c r="T44" s="625">
        <v>0</v>
      </c>
      <c r="U44" s="625">
        <v>0</v>
      </c>
      <c r="V44" s="625">
        <f>Levykirjasto!AC43</f>
        <v>0</v>
      </c>
      <c r="W44" s="626">
        <f t="shared" si="4"/>
        <v>0</v>
      </c>
      <c r="X44" s="621">
        <f t="shared" si="1"/>
        <v>0</v>
      </c>
      <c r="Y44" s="627">
        <f t="shared" si="2"/>
        <v>0</v>
      </c>
      <c r="Z44" s="515"/>
      <c r="AA44" s="224">
        <f>Levykirjasto!H43</f>
        <v>0</v>
      </c>
      <c r="AB44" s="224">
        <f>Levykirjasto!I43</f>
        <v>0</v>
      </c>
      <c r="AC44" s="370">
        <f>Levykirjasto!L43</f>
        <v>0</v>
      </c>
    </row>
    <row r="45" spans="2:29" ht="12.75">
      <c r="B45" s="621">
        <v>33</v>
      </c>
      <c r="C45" s="628" t="s">
        <v>320</v>
      </c>
      <c r="D45" s="629"/>
      <c r="E45" s="623"/>
      <c r="F45" s="623"/>
      <c r="G45" s="623"/>
      <c r="H45" s="623"/>
      <c r="I45" s="867">
        <v>0</v>
      </c>
      <c r="J45" s="868"/>
      <c r="K45" s="868"/>
      <c r="L45" s="869"/>
      <c r="M45" s="631">
        <v>18</v>
      </c>
      <c r="N45" s="630">
        <v>1000</v>
      </c>
      <c r="O45" s="631">
        <v>0</v>
      </c>
      <c r="P45" s="630">
        <v>3444</v>
      </c>
      <c r="Q45" s="625">
        <f aca="true" t="shared" si="5" ref="Q45:Q52">1000*M45^3/12</f>
        <v>486000</v>
      </c>
      <c r="R45" s="621">
        <f aca="true" t="shared" si="6" ref="R45:R56">(P45*Q45)/N45</f>
        <v>1673784</v>
      </c>
      <c r="S45" s="621">
        <v>48</v>
      </c>
      <c r="T45" s="630">
        <v>48</v>
      </c>
      <c r="U45" s="630">
        <v>400</v>
      </c>
      <c r="V45" s="630">
        <v>9000</v>
      </c>
      <c r="W45" s="626">
        <f aca="true" t="shared" si="7" ref="W45:W56">S45*T45^3/12</f>
        <v>442368</v>
      </c>
      <c r="X45" s="621">
        <f aca="true" t="shared" si="8" ref="X45:X56">(V45*W45)/U45</f>
        <v>9953280</v>
      </c>
      <c r="Y45" s="627">
        <f t="shared" si="2"/>
        <v>11627064</v>
      </c>
      <c r="Z45" s="516"/>
      <c r="AA45" s="461"/>
      <c r="AB45" s="231"/>
      <c r="AC45" s="373"/>
    </row>
    <row r="46" spans="2:29" ht="12.75">
      <c r="B46" s="621">
        <v>34</v>
      </c>
      <c r="C46" s="628" t="s">
        <v>321</v>
      </c>
      <c r="D46" s="623"/>
      <c r="E46" s="623"/>
      <c r="F46" s="623"/>
      <c r="G46" s="623"/>
      <c r="H46" s="623"/>
      <c r="I46" s="867">
        <v>0</v>
      </c>
      <c r="J46" s="868"/>
      <c r="K46" s="868"/>
      <c r="L46" s="869"/>
      <c r="M46" s="621">
        <v>18</v>
      </c>
      <c r="N46" s="630">
        <v>1000</v>
      </c>
      <c r="O46" s="621">
        <v>0</v>
      </c>
      <c r="P46" s="630">
        <v>3444</v>
      </c>
      <c r="Q46" s="625">
        <f t="shared" si="5"/>
        <v>486000</v>
      </c>
      <c r="R46" s="621">
        <f t="shared" si="6"/>
        <v>1673784</v>
      </c>
      <c r="S46" s="621">
        <v>48</v>
      </c>
      <c r="T46" s="630">
        <v>73</v>
      </c>
      <c r="U46" s="630">
        <v>400</v>
      </c>
      <c r="V46" s="630">
        <v>9000</v>
      </c>
      <c r="W46" s="626">
        <f t="shared" si="7"/>
        <v>1556068</v>
      </c>
      <c r="X46" s="621">
        <f t="shared" si="8"/>
        <v>35011530</v>
      </c>
      <c r="Y46" s="627">
        <f t="shared" si="2"/>
        <v>36685314</v>
      </c>
      <c r="Z46" s="516"/>
      <c r="AA46" s="231"/>
      <c r="AB46" s="231"/>
      <c r="AC46" s="373"/>
    </row>
    <row r="47" spans="2:29" ht="12.75">
      <c r="B47" s="621">
        <v>35</v>
      </c>
      <c r="C47" s="622" t="s">
        <v>322</v>
      </c>
      <c r="D47" s="623"/>
      <c r="E47" s="623"/>
      <c r="F47" s="623"/>
      <c r="G47" s="623"/>
      <c r="H47" s="623"/>
      <c r="I47" s="867">
        <v>0</v>
      </c>
      <c r="J47" s="868"/>
      <c r="K47" s="868"/>
      <c r="L47" s="869"/>
      <c r="M47" s="621">
        <v>18</v>
      </c>
      <c r="N47" s="630">
        <v>1000</v>
      </c>
      <c r="O47" s="621">
        <v>0</v>
      </c>
      <c r="P47" s="630">
        <v>3444</v>
      </c>
      <c r="Q47" s="625">
        <f t="shared" si="5"/>
        <v>486000</v>
      </c>
      <c r="R47" s="621">
        <f t="shared" si="6"/>
        <v>1673784</v>
      </c>
      <c r="S47" s="621">
        <v>98</v>
      </c>
      <c r="T47" s="630">
        <v>48</v>
      </c>
      <c r="U47" s="630">
        <v>400</v>
      </c>
      <c r="V47" s="630">
        <v>11000</v>
      </c>
      <c r="W47" s="626">
        <f t="shared" si="7"/>
        <v>903168</v>
      </c>
      <c r="X47" s="621">
        <f t="shared" si="8"/>
        <v>24837120</v>
      </c>
      <c r="Y47" s="627">
        <f t="shared" si="2"/>
        <v>26510904</v>
      </c>
      <c r="Z47" s="516"/>
      <c r="AA47" s="231"/>
      <c r="AB47" s="231"/>
      <c r="AC47" s="373"/>
    </row>
    <row r="48" spans="2:29" ht="12.75">
      <c r="B48" s="621">
        <v>36</v>
      </c>
      <c r="C48" s="622" t="s">
        <v>323</v>
      </c>
      <c r="D48" s="623"/>
      <c r="E48" s="623"/>
      <c r="F48" s="623"/>
      <c r="G48" s="623"/>
      <c r="H48" s="623"/>
      <c r="I48" s="867">
        <v>0</v>
      </c>
      <c r="J48" s="868"/>
      <c r="K48" s="868"/>
      <c r="L48" s="869"/>
      <c r="M48" s="621">
        <v>18</v>
      </c>
      <c r="N48" s="630">
        <v>1000</v>
      </c>
      <c r="O48" s="621">
        <v>0</v>
      </c>
      <c r="P48" s="630">
        <v>3444</v>
      </c>
      <c r="Q48" s="625">
        <f t="shared" si="5"/>
        <v>486000</v>
      </c>
      <c r="R48" s="621">
        <f t="shared" si="6"/>
        <v>1673784</v>
      </c>
      <c r="S48" s="621">
        <v>48</v>
      </c>
      <c r="T48" s="630">
        <v>98</v>
      </c>
      <c r="U48" s="630">
        <v>400</v>
      </c>
      <c r="V48" s="630">
        <v>11000</v>
      </c>
      <c r="W48" s="626">
        <f t="shared" si="7"/>
        <v>3764768</v>
      </c>
      <c r="X48" s="621">
        <f t="shared" si="8"/>
        <v>103531120</v>
      </c>
      <c r="Y48" s="627">
        <f t="shared" si="2"/>
        <v>105204904</v>
      </c>
      <c r="Z48" s="516"/>
      <c r="AA48" s="231"/>
      <c r="AB48" s="231"/>
      <c r="AC48" s="373"/>
    </row>
    <row r="49" spans="2:29" ht="12.75">
      <c r="B49" s="621">
        <v>37</v>
      </c>
      <c r="C49" s="628" t="s">
        <v>324</v>
      </c>
      <c r="D49" s="623"/>
      <c r="E49" s="623"/>
      <c r="F49" s="623"/>
      <c r="G49" s="623"/>
      <c r="H49" s="623"/>
      <c r="I49" s="867">
        <v>0</v>
      </c>
      <c r="J49" s="868"/>
      <c r="K49" s="868"/>
      <c r="L49" s="869"/>
      <c r="M49" s="621">
        <v>22</v>
      </c>
      <c r="N49" s="630">
        <v>1000</v>
      </c>
      <c r="O49" s="621">
        <v>0</v>
      </c>
      <c r="P49" s="630">
        <v>3500</v>
      </c>
      <c r="Q49" s="625">
        <f t="shared" si="5"/>
        <v>887333.3333333334</v>
      </c>
      <c r="R49" s="621">
        <f t="shared" si="6"/>
        <v>3105666.666666667</v>
      </c>
      <c r="S49" s="621">
        <v>48</v>
      </c>
      <c r="T49" s="630">
        <v>48</v>
      </c>
      <c r="U49" s="630">
        <v>400</v>
      </c>
      <c r="V49" s="630">
        <v>9000</v>
      </c>
      <c r="W49" s="626">
        <f t="shared" si="7"/>
        <v>442368</v>
      </c>
      <c r="X49" s="621">
        <f t="shared" si="8"/>
        <v>9953280</v>
      </c>
      <c r="Y49" s="627">
        <f t="shared" si="2"/>
        <v>13058946.666666668</v>
      </c>
      <c r="Z49" s="516"/>
      <c r="AA49" s="231"/>
      <c r="AB49" s="231"/>
      <c r="AC49" s="373"/>
    </row>
    <row r="50" spans="2:29" ht="12.75">
      <c r="B50" s="621">
        <v>38</v>
      </c>
      <c r="C50" s="628" t="s">
        <v>325</v>
      </c>
      <c r="D50" s="623"/>
      <c r="E50" s="623"/>
      <c r="F50" s="623"/>
      <c r="G50" s="623"/>
      <c r="H50" s="623"/>
      <c r="I50" s="867">
        <v>0</v>
      </c>
      <c r="J50" s="868"/>
      <c r="K50" s="868"/>
      <c r="L50" s="869"/>
      <c r="M50" s="621">
        <v>22</v>
      </c>
      <c r="N50" s="630">
        <v>1000</v>
      </c>
      <c r="O50" s="621">
        <v>0</v>
      </c>
      <c r="P50" s="630">
        <v>3500</v>
      </c>
      <c r="Q50" s="625">
        <f t="shared" si="5"/>
        <v>887333.3333333334</v>
      </c>
      <c r="R50" s="621">
        <f t="shared" si="6"/>
        <v>3105666.666666667</v>
      </c>
      <c r="S50" s="621">
        <v>48</v>
      </c>
      <c r="T50" s="630">
        <v>73</v>
      </c>
      <c r="U50" s="630">
        <v>400</v>
      </c>
      <c r="V50" s="630">
        <v>9000</v>
      </c>
      <c r="W50" s="626">
        <f t="shared" si="7"/>
        <v>1556068</v>
      </c>
      <c r="X50" s="621">
        <f t="shared" si="8"/>
        <v>35011530</v>
      </c>
      <c r="Y50" s="627">
        <f t="shared" si="2"/>
        <v>38117196.666666664</v>
      </c>
      <c r="Z50" s="516"/>
      <c r="AA50" s="231"/>
      <c r="AB50" s="231"/>
      <c r="AC50" s="373"/>
    </row>
    <row r="51" spans="2:29" ht="12.75">
      <c r="B51" s="621">
        <v>39</v>
      </c>
      <c r="C51" s="622" t="s">
        <v>326</v>
      </c>
      <c r="D51" s="623"/>
      <c r="E51" s="623"/>
      <c r="F51" s="623"/>
      <c r="G51" s="623"/>
      <c r="H51" s="623"/>
      <c r="I51" s="867">
        <v>0</v>
      </c>
      <c r="J51" s="868"/>
      <c r="K51" s="868"/>
      <c r="L51" s="869"/>
      <c r="M51" s="621">
        <v>22</v>
      </c>
      <c r="N51" s="630">
        <v>1000</v>
      </c>
      <c r="O51" s="621">
        <v>0</v>
      </c>
      <c r="P51" s="630">
        <v>3500</v>
      </c>
      <c r="Q51" s="625">
        <f t="shared" si="5"/>
        <v>887333.3333333334</v>
      </c>
      <c r="R51" s="621">
        <f t="shared" si="6"/>
        <v>3105666.666666667</v>
      </c>
      <c r="S51" s="621">
        <v>98</v>
      </c>
      <c r="T51" s="630">
        <v>48</v>
      </c>
      <c r="U51" s="630">
        <v>400</v>
      </c>
      <c r="V51" s="630">
        <v>11000</v>
      </c>
      <c r="W51" s="626">
        <f t="shared" si="7"/>
        <v>903168</v>
      </c>
      <c r="X51" s="621">
        <f t="shared" si="8"/>
        <v>24837120</v>
      </c>
      <c r="Y51" s="627">
        <f t="shared" si="2"/>
        <v>27942786.666666668</v>
      </c>
      <c r="Z51" s="516"/>
      <c r="AA51" s="231"/>
      <c r="AB51" s="231"/>
      <c r="AC51" s="373"/>
    </row>
    <row r="52" spans="2:29" ht="12.75">
      <c r="B52" s="621">
        <v>40</v>
      </c>
      <c r="C52" s="622" t="s">
        <v>327</v>
      </c>
      <c r="D52" s="623"/>
      <c r="E52" s="623"/>
      <c r="F52" s="623"/>
      <c r="G52" s="623"/>
      <c r="H52" s="623"/>
      <c r="I52" s="867">
        <v>0</v>
      </c>
      <c r="J52" s="868"/>
      <c r="K52" s="868"/>
      <c r="L52" s="869"/>
      <c r="M52" s="621">
        <v>22</v>
      </c>
      <c r="N52" s="630">
        <v>1000</v>
      </c>
      <c r="O52" s="621">
        <v>0</v>
      </c>
      <c r="P52" s="630">
        <v>3500</v>
      </c>
      <c r="Q52" s="625">
        <f t="shared" si="5"/>
        <v>887333.3333333334</v>
      </c>
      <c r="R52" s="621">
        <f t="shared" si="6"/>
        <v>3105666.666666667</v>
      </c>
      <c r="S52" s="621">
        <v>48</v>
      </c>
      <c r="T52" s="630">
        <v>98</v>
      </c>
      <c r="U52" s="630">
        <v>400</v>
      </c>
      <c r="V52" s="630">
        <v>11000</v>
      </c>
      <c r="W52" s="626">
        <f t="shared" si="7"/>
        <v>3764768</v>
      </c>
      <c r="X52" s="621">
        <f t="shared" si="8"/>
        <v>103531120</v>
      </c>
      <c r="Y52" s="627">
        <f t="shared" si="2"/>
        <v>106636786.66666667</v>
      </c>
      <c r="Z52" s="516"/>
      <c r="AA52" s="231"/>
      <c r="AB52" s="231"/>
      <c r="AC52" s="373"/>
    </row>
    <row r="53" spans="2:29" ht="12.75">
      <c r="B53" s="621">
        <v>41</v>
      </c>
      <c r="C53" s="628" t="s">
        <v>428</v>
      </c>
      <c r="D53" s="623"/>
      <c r="E53" s="623"/>
      <c r="F53" s="623"/>
      <c r="G53" s="623"/>
      <c r="H53" s="623"/>
      <c r="I53" s="867">
        <v>0</v>
      </c>
      <c r="J53" s="868"/>
      <c r="K53" s="868"/>
      <c r="L53" s="869"/>
      <c r="M53" s="621">
        <v>15</v>
      </c>
      <c r="N53" s="630">
        <v>1000</v>
      </c>
      <c r="O53" s="621">
        <v>0</v>
      </c>
      <c r="P53" s="630">
        <v>4000</v>
      </c>
      <c r="Q53" s="625">
        <f>2*(1000*M53^3/12)</f>
        <v>562500</v>
      </c>
      <c r="R53" s="621">
        <f t="shared" si="6"/>
        <v>2250000</v>
      </c>
      <c r="S53" s="621">
        <v>48</v>
      </c>
      <c r="T53" s="630">
        <v>98</v>
      </c>
      <c r="U53" s="630">
        <v>300</v>
      </c>
      <c r="V53" s="630">
        <v>11000</v>
      </c>
      <c r="W53" s="626">
        <f t="shared" si="7"/>
        <v>3764768</v>
      </c>
      <c r="X53" s="621">
        <f t="shared" si="8"/>
        <v>138041493.33333334</v>
      </c>
      <c r="Y53" s="627">
        <f t="shared" si="2"/>
        <v>140291493.33333334</v>
      </c>
      <c r="Z53" s="516"/>
      <c r="AA53" s="231"/>
      <c r="AB53" s="231"/>
      <c r="AC53" s="373"/>
    </row>
    <row r="54" spans="2:29" ht="12.75">
      <c r="B54" s="621">
        <v>42</v>
      </c>
      <c r="C54" s="628" t="s">
        <v>328</v>
      </c>
      <c r="D54" s="623"/>
      <c r="E54" s="623"/>
      <c r="F54" s="623"/>
      <c r="G54" s="623"/>
      <c r="H54" s="623"/>
      <c r="I54" s="867">
        <v>0</v>
      </c>
      <c r="J54" s="868"/>
      <c r="K54" s="868"/>
      <c r="L54" s="869"/>
      <c r="M54" s="621">
        <v>15</v>
      </c>
      <c r="N54" s="630">
        <v>1000</v>
      </c>
      <c r="O54" s="621">
        <v>0</v>
      </c>
      <c r="P54" s="630">
        <v>4000</v>
      </c>
      <c r="Q54" s="625">
        <f>2*(1000*M54^3/12)</f>
        <v>562500</v>
      </c>
      <c r="R54" s="621">
        <f t="shared" si="6"/>
        <v>2250000</v>
      </c>
      <c r="S54" s="621">
        <v>100</v>
      </c>
      <c r="T54" s="630">
        <v>32</v>
      </c>
      <c r="U54" s="630">
        <v>300</v>
      </c>
      <c r="V54" s="630">
        <v>9000</v>
      </c>
      <c r="W54" s="626">
        <f t="shared" si="7"/>
        <v>273066.6666666667</v>
      </c>
      <c r="X54" s="621">
        <f t="shared" si="8"/>
        <v>8192000</v>
      </c>
      <c r="Y54" s="627">
        <f t="shared" si="2"/>
        <v>10442000</v>
      </c>
      <c r="Z54" s="516"/>
      <c r="AA54" s="231"/>
      <c r="AB54" s="231"/>
      <c r="AC54" s="373"/>
    </row>
    <row r="55" spans="2:29" ht="12.75">
      <c r="B55" s="621">
        <v>43</v>
      </c>
      <c r="C55" s="628" t="s">
        <v>329</v>
      </c>
      <c r="D55" s="623"/>
      <c r="E55" s="623"/>
      <c r="F55" s="623"/>
      <c r="G55" s="623"/>
      <c r="H55" s="623"/>
      <c r="I55" s="867">
        <v>0</v>
      </c>
      <c r="J55" s="868"/>
      <c r="K55" s="868"/>
      <c r="L55" s="869"/>
      <c r="M55" s="621">
        <v>15</v>
      </c>
      <c r="N55" s="630">
        <v>1000</v>
      </c>
      <c r="O55" s="621">
        <v>0</v>
      </c>
      <c r="P55" s="630">
        <v>4000</v>
      </c>
      <c r="Q55" s="625">
        <f>2*(1000*M55^3/12)</f>
        <v>562500</v>
      </c>
      <c r="R55" s="621">
        <f t="shared" si="6"/>
        <v>2250000</v>
      </c>
      <c r="S55" s="621">
        <v>100</v>
      </c>
      <c r="T55" s="630">
        <v>38</v>
      </c>
      <c r="U55" s="630">
        <v>300</v>
      </c>
      <c r="V55" s="630">
        <v>9000</v>
      </c>
      <c r="W55" s="626">
        <f t="shared" si="7"/>
        <v>457266.6666666667</v>
      </c>
      <c r="X55" s="621">
        <f t="shared" si="8"/>
        <v>13718000</v>
      </c>
      <c r="Y55" s="627">
        <f t="shared" si="2"/>
        <v>15968000</v>
      </c>
      <c r="Z55" s="516"/>
      <c r="AA55" s="231"/>
      <c r="AB55" s="231"/>
      <c r="AC55" s="373"/>
    </row>
    <row r="56" spans="2:29" ht="12.75">
      <c r="B56" s="632">
        <v>44</v>
      </c>
      <c r="C56" s="633" t="s">
        <v>330</v>
      </c>
      <c r="D56" s="634"/>
      <c r="E56" s="634"/>
      <c r="F56" s="634"/>
      <c r="G56" s="634"/>
      <c r="H56" s="634"/>
      <c r="I56" s="870">
        <v>0</v>
      </c>
      <c r="J56" s="871"/>
      <c r="K56" s="871"/>
      <c r="L56" s="872"/>
      <c r="M56" s="632">
        <v>15</v>
      </c>
      <c r="N56" s="635">
        <v>1000</v>
      </c>
      <c r="O56" s="632">
        <v>0</v>
      </c>
      <c r="P56" s="635">
        <v>4000</v>
      </c>
      <c r="Q56" s="636">
        <f>2*(1000*M56^3/12)</f>
        <v>562500</v>
      </c>
      <c r="R56" s="632">
        <f t="shared" si="6"/>
        <v>2250000</v>
      </c>
      <c r="S56" s="632">
        <v>98</v>
      </c>
      <c r="T56" s="635">
        <v>48</v>
      </c>
      <c r="U56" s="635">
        <v>300</v>
      </c>
      <c r="V56" s="635">
        <v>11000</v>
      </c>
      <c r="W56" s="637">
        <f t="shared" si="7"/>
        <v>903168</v>
      </c>
      <c r="X56" s="632">
        <f t="shared" si="8"/>
        <v>33116160</v>
      </c>
      <c r="Y56" s="638">
        <f t="shared" si="2"/>
        <v>35366160</v>
      </c>
      <c r="Z56" s="516"/>
      <c r="AA56" s="231"/>
      <c r="AB56" s="231"/>
      <c r="AC56" s="373"/>
    </row>
    <row r="57" spans="2:28" ht="12.75">
      <c r="B57" s="373"/>
      <c r="C57" s="250"/>
      <c r="D57" s="344"/>
      <c r="E57" s="344"/>
      <c r="F57" s="344"/>
      <c r="G57" s="344"/>
      <c r="H57" s="344"/>
      <c r="I57" s="373"/>
      <c r="J57" s="373"/>
      <c r="K57" s="373"/>
      <c r="L57" s="373"/>
      <c r="M57" s="373"/>
      <c r="N57" s="372"/>
      <c r="O57" s="373"/>
      <c r="P57" s="373"/>
      <c r="Q57" s="373"/>
      <c r="R57" s="373"/>
      <c r="S57" s="373"/>
      <c r="T57" s="373"/>
      <c r="U57" s="373"/>
      <c r="V57" s="373"/>
      <c r="W57" s="372"/>
      <c r="X57" s="373"/>
      <c r="Y57" s="421"/>
      <c r="Z57" s="223"/>
      <c r="AA57" s="223"/>
      <c r="AB57" s="223"/>
    </row>
    <row r="58" spans="2:28" ht="12.75">
      <c r="B58" s="873" t="s">
        <v>14</v>
      </c>
      <c r="C58" s="874"/>
      <c r="D58" s="874"/>
      <c r="E58" s="875"/>
      <c r="F58" s="365" t="s">
        <v>23</v>
      </c>
      <c r="G58" s="365" t="s">
        <v>24</v>
      </c>
      <c r="H58" s="365" t="s">
        <v>179</v>
      </c>
      <c r="I58" s="366" t="s">
        <v>88</v>
      </c>
      <c r="J58" s="366" t="s">
        <v>181</v>
      </c>
      <c r="K58" s="365" t="s">
        <v>183</v>
      </c>
      <c r="T58" s="223"/>
      <c r="U58" s="223"/>
      <c r="V58" s="223"/>
      <c r="W58" s="223"/>
      <c r="X58" s="216"/>
      <c r="Y58" s="223"/>
      <c r="Z58" s="223"/>
      <c r="AA58" s="223"/>
      <c r="AB58" s="223"/>
    </row>
    <row r="59" spans="2:28" ht="12.75">
      <c r="B59" s="876"/>
      <c r="C59" s="877"/>
      <c r="D59" s="877"/>
      <c r="E59" s="878"/>
      <c r="F59" s="381" t="s">
        <v>0</v>
      </c>
      <c r="G59" s="381" t="s">
        <v>0</v>
      </c>
      <c r="H59" s="381" t="s">
        <v>12</v>
      </c>
      <c r="I59" s="381" t="s">
        <v>10</v>
      </c>
      <c r="J59" s="420" t="s">
        <v>217</v>
      </c>
      <c r="K59" s="420" t="s">
        <v>420</v>
      </c>
      <c r="T59" s="223"/>
      <c r="U59" s="223"/>
      <c r="V59" s="223"/>
      <c r="W59" s="223"/>
      <c r="X59" s="216"/>
      <c r="Y59" s="223"/>
      <c r="Z59" s="223"/>
      <c r="AA59" s="223"/>
      <c r="AB59" s="223"/>
    </row>
    <row r="60" spans="2:11" ht="12.75">
      <c r="B60" s="387">
        <v>3</v>
      </c>
      <c r="C60" s="219" t="str">
        <f>VLOOKUP(B60,B61:K85,2)</f>
        <v>Betonivalu - 60 - (E=20000 N/mm2)</v>
      </c>
      <c r="D60" s="438"/>
      <c r="E60" s="367"/>
      <c r="F60" s="285">
        <f>VLOOKUP(B60,B61:K85,5)</f>
        <v>1000</v>
      </c>
      <c r="G60" s="371">
        <f>VLOOKUP(B60,B61:K85,6)</f>
        <v>60</v>
      </c>
      <c r="H60" s="371">
        <f>VLOOKUP(B60,B61:K85,7)</f>
        <v>18000000</v>
      </c>
      <c r="I60" s="218">
        <f>VLOOKUP(B60,B61:K85,8)</f>
        <v>20000</v>
      </c>
      <c r="J60" s="218">
        <f>VLOOKUP(B60,B61:K85,9)</f>
        <v>2500</v>
      </c>
      <c r="K60" s="360">
        <f>VLOOKUP(B60,B61:K85,10)</f>
        <v>150</v>
      </c>
    </row>
    <row r="61" spans="2:35" ht="12.75">
      <c r="B61" s="228">
        <v>1</v>
      </c>
      <c r="C61" s="437" t="s">
        <v>87</v>
      </c>
      <c r="D61" s="233"/>
      <c r="E61" s="390"/>
      <c r="F61" s="339">
        <v>0</v>
      </c>
      <c r="G61" s="339">
        <v>0</v>
      </c>
      <c r="H61" s="229">
        <v>0</v>
      </c>
      <c r="I61" s="339">
        <v>0</v>
      </c>
      <c r="J61" s="358">
        <v>0</v>
      </c>
      <c r="K61" s="361">
        <v>0</v>
      </c>
      <c r="AG61" s="36"/>
      <c r="AH61" s="216"/>
      <c r="AI61" s="344"/>
    </row>
    <row r="62" spans="2:38" ht="12.75">
      <c r="B62" s="316">
        <v>2</v>
      </c>
      <c r="C62" s="278" t="s">
        <v>223</v>
      </c>
      <c r="D62" s="216"/>
      <c r="E62" s="376"/>
      <c r="F62" s="221">
        <v>1000</v>
      </c>
      <c r="G62" s="221">
        <v>50</v>
      </c>
      <c r="H62" s="231">
        <f aca="true" t="shared" si="9" ref="H62:H85">F62*G62^3/12</f>
        <v>10416666.666666666</v>
      </c>
      <c r="I62" s="221">
        <v>20000</v>
      </c>
      <c r="J62" s="359">
        <v>2500</v>
      </c>
      <c r="K62" s="362">
        <f>J62*(G62/1000)</f>
        <v>125</v>
      </c>
      <c r="M62" s="344"/>
      <c r="N62" s="344"/>
      <c r="O62" s="344"/>
      <c r="P62" s="344"/>
      <c r="Q62" s="344"/>
      <c r="R62" s="344"/>
      <c r="S62" s="344"/>
      <c r="T62" s="344"/>
      <c r="AK62" s="216"/>
      <c r="AL62" s="216"/>
    </row>
    <row r="63" spans="2:20" ht="12.75">
      <c r="B63" s="221">
        <v>3</v>
      </c>
      <c r="C63" s="278" t="s">
        <v>224</v>
      </c>
      <c r="D63" s="216"/>
      <c r="E63" s="376"/>
      <c r="F63" s="221">
        <v>1000</v>
      </c>
      <c r="G63" s="221">
        <v>60</v>
      </c>
      <c r="H63" s="231">
        <f t="shared" si="9"/>
        <v>18000000</v>
      </c>
      <c r="I63" s="221">
        <v>20000</v>
      </c>
      <c r="J63" s="359">
        <v>2500</v>
      </c>
      <c r="K63" s="362">
        <f aca="true" t="shared" si="10" ref="K63:K85">J63*(G63/1000)</f>
        <v>150</v>
      </c>
      <c r="M63" s="344"/>
      <c r="N63" s="344"/>
      <c r="O63" s="344"/>
      <c r="P63" s="344"/>
      <c r="Q63" s="344"/>
      <c r="R63" s="344"/>
      <c r="S63" s="344"/>
      <c r="T63" s="344"/>
    </row>
    <row r="64" spans="2:23" ht="12.75">
      <c r="B64" s="221">
        <v>4</v>
      </c>
      <c r="C64" s="278" t="s">
        <v>225</v>
      </c>
      <c r="D64" s="216"/>
      <c r="E64" s="376"/>
      <c r="F64" s="221">
        <v>1000</v>
      </c>
      <c r="G64" s="221">
        <v>70</v>
      </c>
      <c r="H64" s="231">
        <f t="shared" si="9"/>
        <v>28583333.333333332</v>
      </c>
      <c r="I64" s="221">
        <v>20000</v>
      </c>
      <c r="J64" s="359">
        <v>2500</v>
      </c>
      <c r="K64" s="362">
        <f t="shared" si="10"/>
        <v>175.00000000000003</v>
      </c>
      <c r="M64" s="344"/>
      <c r="N64" s="38"/>
      <c r="O64" s="344"/>
      <c r="P64" s="344"/>
      <c r="Q64" s="344"/>
      <c r="R64" s="344"/>
      <c r="S64" s="344"/>
      <c r="T64" s="344"/>
      <c r="U64" s="344"/>
      <c r="V64" s="344"/>
      <c r="W64" s="344"/>
    </row>
    <row r="65" spans="2:23" ht="12.75">
      <c r="B65" s="232">
        <v>5</v>
      </c>
      <c r="C65" s="389" t="s">
        <v>226</v>
      </c>
      <c r="D65" s="233"/>
      <c r="E65" s="390"/>
      <c r="F65" s="232">
        <v>1000</v>
      </c>
      <c r="G65" s="232">
        <v>80</v>
      </c>
      <c r="H65" s="234">
        <f t="shared" si="9"/>
        <v>42666666.666666664</v>
      </c>
      <c r="I65" s="232">
        <v>20000</v>
      </c>
      <c r="J65" s="232">
        <v>2500</v>
      </c>
      <c r="K65" s="363">
        <f t="shared" si="10"/>
        <v>200</v>
      </c>
      <c r="M65" s="344"/>
      <c r="N65" s="344"/>
      <c r="O65" s="344"/>
      <c r="P65" s="344"/>
      <c r="Q65" s="344"/>
      <c r="R65" s="344"/>
      <c r="S65" s="344"/>
      <c r="T65" s="344"/>
      <c r="U65" s="344"/>
      <c r="V65" s="344"/>
      <c r="W65" s="344"/>
    </row>
    <row r="66" spans="2:23" ht="12.75">
      <c r="B66" s="221">
        <v>6</v>
      </c>
      <c r="C66" s="278" t="s">
        <v>227</v>
      </c>
      <c r="D66" s="216"/>
      <c r="E66" s="376"/>
      <c r="F66" s="221">
        <v>1000</v>
      </c>
      <c r="G66" s="221">
        <v>20</v>
      </c>
      <c r="H66" s="231">
        <f t="shared" si="9"/>
        <v>666666.6666666666</v>
      </c>
      <c r="I66" s="221">
        <v>17000</v>
      </c>
      <c r="J66" s="359">
        <v>2000</v>
      </c>
      <c r="K66" s="362">
        <f t="shared" si="10"/>
        <v>40</v>
      </c>
      <c r="M66" s="344"/>
      <c r="N66" s="344"/>
      <c r="O66" s="38"/>
      <c r="P66" s="38"/>
      <c r="Q66" s="38"/>
      <c r="R66" s="38"/>
      <c r="S66" s="344"/>
      <c r="T66" s="344"/>
      <c r="U66" s="344"/>
      <c r="V66" s="344"/>
      <c r="W66" s="344"/>
    </row>
    <row r="67" spans="2:23" ht="12.75">
      <c r="B67" s="221">
        <v>7</v>
      </c>
      <c r="C67" s="278" t="s">
        <v>228</v>
      </c>
      <c r="D67" s="344"/>
      <c r="E67" s="376"/>
      <c r="F67" s="221">
        <v>1000</v>
      </c>
      <c r="G67" s="221">
        <v>25</v>
      </c>
      <c r="H67" s="231">
        <f t="shared" si="9"/>
        <v>1302083.3333333333</v>
      </c>
      <c r="I67" s="221">
        <v>17000</v>
      </c>
      <c r="J67" s="359">
        <v>2000</v>
      </c>
      <c r="K67" s="362">
        <f t="shared" si="10"/>
        <v>50</v>
      </c>
      <c r="O67" s="344"/>
      <c r="P67" s="344"/>
      <c r="Q67" s="344"/>
      <c r="R67" s="344"/>
      <c r="S67" s="344"/>
      <c r="T67" s="344"/>
      <c r="U67" s="344"/>
      <c r="V67" s="344"/>
      <c r="W67" s="344"/>
    </row>
    <row r="68" spans="2:23" ht="12.75">
      <c r="B68" s="221">
        <v>8</v>
      </c>
      <c r="C68" s="278" t="s">
        <v>229</v>
      </c>
      <c r="D68" s="216"/>
      <c r="E68" s="376"/>
      <c r="F68" s="221">
        <v>1000</v>
      </c>
      <c r="G68" s="221">
        <v>30</v>
      </c>
      <c r="H68" s="231">
        <f t="shared" si="9"/>
        <v>2250000</v>
      </c>
      <c r="I68" s="221">
        <v>17000</v>
      </c>
      <c r="J68" s="359">
        <v>2000</v>
      </c>
      <c r="K68" s="362">
        <f t="shared" si="10"/>
        <v>60</v>
      </c>
      <c r="M68" s="223"/>
      <c r="N68" s="223"/>
      <c r="O68" s="344"/>
      <c r="P68" s="344"/>
      <c r="Q68" s="344"/>
      <c r="R68" s="344"/>
      <c r="S68" s="344"/>
      <c r="T68" s="344"/>
      <c r="U68" s="344"/>
      <c r="V68" s="344"/>
      <c r="W68" s="344"/>
    </row>
    <row r="69" spans="2:23" ht="12.75">
      <c r="B69" s="221">
        <v>9</v>
      </c>
      <c r="C69" s="278" t="s">
        <v>230</v>
      </c>
      <c r="D69" s="344"/>
      <c r="E69" s="376"/>
      <c r="F69" s="221">
        <v>1000</v>
      </c>
      <c r="G69" s="221">
        <v>35</v>
      </c>
      <c r="H69" s="231">
        <f t="shared" si="9"/>
        <v>3572916.6666666665</v>
      </c>
      <c r="I69" s="221">
        <v>17000</v>
      </c>
      <c r="J69" s="359">
        <v>2000</v>
      </c>
      <c r="K69" s="362">
        <f t="shared" si="10"/>
        <v>70</v>
      </c>
      <c r="M69" s="223"/>
      <c r="N69" s="223"/>
      <c r="O69" s="344"/>
      <c r="P69" s="344"/>
      <c r="Q69" s="344"/>
      <c r="R69" s="344"/>
      <c r="S69" s="344"/>
      <c r="T69" s="344"/>
      <c r="U69" s="344"/>
      <c r="V69" s="344"/>
      <c r="W69" s="344"/>
    </row>
    <row r="70" spans="2:23" ht="12.75">
      <c r="B70" s="221">
        <v>10</v>
      </c>
      <c r="C70" s="278" t="s">
        <v>231</v>
      </c>
      <c r="D70" s="216"/>
      <c r="E70" s="376"/>
      <c r="F70" s="221">
        <v>1000</v>
      </c>
      <c r="G70" s="221">
        <v>40</v>
      </c>
      <c r="H70" s="231">
        <f t="shared" si="9"/>
        <v>5333333.333333333</v>
      </c>
      <c r="I70" s="221">
        <v>17000</v>
      </c>
      <c r="J70" s="359">
        <v>2000</v>
      </c>
      <c r="K70" s="362">
        <f t="shared" si="10"/>
        <v>80</v>
      </c>
      <c r="M70" s="223"/>
      <c r="N70" s="223"/>
      <c r="O70" s="344"/>
      <c r="P70" s="344"/>
      <c r="Q70" s="344"/>
      <c r="R70" s="344"/>
      <c r="S70" s="344"/>
      <c r="T70" s="344"/>
      <c r="U70" s="344"/>
      <c r="V70" s="344"/>
      <c r="W70" s="344"/>
    </row>
    <row r="71" spans="2:23" ht="12.75">
      <c r="B71" s="221">
        <v>11</v>
      </c>
      <c r="C71" s="278" t="s">
        <v>232</v>
      </c>
      <c r="D71" s="216"/>
      <c r="E71" s="376"/>
      <c r="F71" s="221">
        <v>1000</v>
      </c>
      <c r="G71" s="221">
        <v>45</v>
      </c>
      <c r="H71" s="231">
        <f t="shared" si="9"/>
        <v>7593750</v>
      </c>
      <c r="I71" s="221">
        <v>17000</v>
      </c>
      <c r="J71" s="359">
        <v>2000</v>
      </c>
      <c r="K71" s="362">
        <f t="shared" si="10"/>
        <v>90</v>
      </c>
      <c r="M71" s="223"/>
      <c r="N71" s="223"/>
      <c r="O71" s="344"/>
      <c r="P71" s="344"/>
      <c r="Q71" s="344"/>
      <c r="R71" s="344"/>
      <c r="S71" s="344"/>
      <c r="T71" s="344"/>
      <c r="U71" s="344"/>
      <c r="V71" s="344"/>
      <c r="W71" s="344"/>
    </row>
    <row r="72" spans="2:23" ht="12.75">
      <c r="B72" s="221">
        <v>12</v>
      </c>
      <c r="C72" s="278" t="s">
        <v>233</v>
      </c>
      <c r="D72" s="216"/>
      <c r="E72" s="376"/>
      <c r="F72" s="221">
        <v>1000</v>
      </c>
      <c r="G72" s="221">
        <v>50</v>
      </c>
      <c r="H72" s="231">
        <f t="shared" si="9"/>
        <v>10416666.666666666</v>
      </c>
      <c r="I72" s="221">
        <v>17000</v>
      </c>
      <c r="J72" s="359">
        <v>2000</v>
      </c>
      <c r="K72" s="362">
        <f t="shared" si="10"/>
        <v>100</v>
      </c>
      <c r="M72" s="223"/>
      <c r="N72" s="223"/>
      <c r="O72" s="344"/>
      <c r="P72" s="344"/>
      <c r="Q72" s="344"/>
      <c r="R72" s="344"/>
      <c r="S72" s="344"/>
      <c r="T72" s="344"/>
      <c r="U72" s="344"/>
      <c r="V72" s="344"/>
      <c r="W72" s="344"/>
    </row>
    <row r="73" spans="2:11" ht="12.75">
      <c r="B73" s="221">
        <v>13</v>
      </c>
      <c r="C73" s="278" t="s">
        <v>234</v>
      </c>
      <c r="D73" s="216"/>
      <c r="E73" s="376"/>
      <c r="F73" s="221">
        <v>1000</v>
      </c>
      <c r="G73" s="221">
        <v>55</v>
      </c>
      <c r="H73" s="231">
        <f t="shared" si="9"/>
        <v>13864583.333333334</v>
      </c>
      <c r="I73" s="221">
        <v>17000</v>
      </c>
      <c r="J73" s="359">
        <v>2000</v>
      </c>
      <c r="K73" s="362">
        <f t="shared" si="10"/>
        <v>110</v>
      </c>
    </row>
    <row r="74" spans="2:11" ht="12.75">
      <c r="B74" s="221">
        <v>14</v>
      </c>
      <c r="C74" s="278" t="s">
        <v>235</v>
      </c>
      <c r="D74" s="216"/>
      <c r="E74" s="376"/>
      <c r="F74" s="221">
        <v>1000</v>
      </c>
      <c r="G74" s="221">
        <v>60</v>
      </c>
      <c r="H74" s="231">
        <f t="shared" si="9"/>
        <v>18000000</v>
      </c>
      <c r="I74" s="221">
        <v>17000</v>
      </c>
      <c r="J74" s="359">
        <v>2000</v>
      </c>
      <c r="K74" s="362">
        <f t="shared" si="10"/>
        <v>120</v>
      </c>
    </row>
    <row r="75" spans="2:11" ht="12.75">
      <c r="B75" s="221">
        <v>15</v>
      </c>
      <c r="C75" s="278" t="s">
        <v>236</v>
      </c>
      <c r="D75" s="216"/>
      <c r="E75" s="376"/>
      <c r="F75" s="221">
        <v>1000</v>
      </c>
      <c r="G75" s="221">
        <v>65</v>
      </c>
      <c r="H75" s="231">
        <f t="shared" si="9"/>
        <v>22885416.666666668</v>
      </c>
      <c r="I75" s="221">
        <v>17000</v>
      </c>
      <c r="J75" s="359">
        <v>2000</v>
      </c>
      <c r="K75" s="362">
        <f t="shared" si="10"/>
        <v>130</v>
      </c>
    </row>
    <row r="76" spans="2:11" ht="12.75">
      <c r="B76" s="221">
        <v>16</v>
      </c>
      <c r="C76" s="278" t="s">
        <v>237</v>
      </c>
      <c r="D76" s="216"/>
      <c r="E76" s="376"/>
      <c r="F76" s="221">
        <v>1000</v>
      </c>
      <c r="G76" s="221">
        <v>70</v>
      </c>
      <c r="H76" s="231">
        <f t="shared" si="9"/>
        <v>28583333.333333332</v>
      </c>
      <c r="I76" s="221">
        <v>17000</v>
      </c>
      <c r="J76" s="359">
        <v>2000</v>
      </c>
      <c r="K76" s="362">
        <f t="shared" si="10"/>
        <v>140</v>
      </c>
    </row>
    <row r="77" spans="2:26" ht="12.75">
      <c r="B77" s="221">
        <v>17</v>
      </c>
      <c r="C77" s="278" t="s">
        <v>238</v>
      </c>
      <c r="D77" s="216"/>
      <c r="E77" s="376"/>
      <c r="F77" s="221">
        <v>1000</v>
      </c>
      <c r="G77" s="221">
        <v>75</v>
      </c>
      <c r="H77" s="231">
        <f t="shared" si="9"/>
        <v>35156250</v>
      </c>
      <c r="I77" s="221">
        <v>17000</v>
      </c>
      <c r="J77" s="359">
        <v>2000</v>
      </c>
      <c r="K77" s="362">
        <f t="shared" si="10"/>
        <v>150</v>
      </c>
      <c r="X77" s="379"/>
      <c r="Y77" s="379"/>
      <c r="Z77" s="379"/>
    </row>
    <row r="78" spans="2:26" ht="12.75">
      <c r="B78" s="354">
        <v>18</v>
      </c>
      <c r="C78" s="355" t="s">
        <v>239</v>
      </c>
      <c r="D78" s="356"/>
      <c r="E78" s="390"/>
      <c r="F78" s="354">
        <v>1000</v>
      </c>
      <c r="G78" s="354">
        <v>80</v>
      </c>
      <c r="H78" s="357">
        <f t="shared" si="9"/>
        <v>42666666.666666664</v>
      </c>
      <c r="I78" s="354">
        <v>17000</v>
      </c>
      <c r="J78" s="354">
        <v>2000</v>
      </c>
      <c r="K78" s="363">
        <f t="shared" si="10"/>
        <v>160</v>
      </c>
      <c r="X78" s="379"/>
      <c r="Y78" s="379"/>
      <c r="Z78" s="379"/>
    </row>
    <row r="79" spans="2:26" ht="12.75">
      <c r="B79" s="221">
        <v>19</v>
      </c>
      <c r="C79" s="278" t="s">
        <v>240</v>
      </c>
      <c r="D79" s="216"/>
      <c r="E79" s="376"/>
      <c r="F79" s="221">
        <v>1000</v>
      </c>
      <c r="G79" s="221">
        <v>20</v>
      </c>
      <c r="H79" s="231">
        <f t="shared" si="9"/>
        <v>666666.6666666666</v>
      </c>
      <c r="I79" s="221">
        <v>12000</v>
      </c>
      <c r="J79" s="359">
        <v>1800</v>
      </c>
      <c r="K79" s="362">
        <f t="shared" si="10"/>
        <v>36</v>
      </c>
      <c r="X79" s="379"/>
      <c r="Y79" s="379"/>
      <c r="Z79" s="379"/>
    </row>
    <row r="80" spans="2:26" ht="12.75">
      <c r="B80" s="221">
        <v>20</v>
      </c>
      <c r="C80" s="278" t="s">
        <v>241</v>
      </c>
      <c r="D80" s="216"/>
      <c r="E80" s="376"/>
      <c r="F80" s="221">
        <v>1000</v>
      </c>
      <c r="G80" s="221">
        <v>25</v>
      </c>
      <c r="H80" s="231">
        <f t="shared" si="9"/>
        <v>1302083.3333333333</v>
      </c>
      <c r="I80" s="221">
        <v>12000</v>
      </c>
      <c r="J80" s="359">
        <v>1800</v>
      </c>
      <c r="K80" s="362">
        <f t="shared" si="10"/>
        <v>45</v>
      </c>
      <c r="X80" s="379"/>
      <c r="Y80" s="379"/>
      <c r="Z80" s="379"/>
    </row>
    <row r="81" spans="2:26" ht="12.75">
      <c r="B81" s="221">
        <v>21</v>
      </c>
      <c r="C81" s="278" t="s">
        <v>242</v>
      </c>
      <c r="D81" s="216"/>
      <c r="E81" s="376"/>
      <c r="F81" s="221">
        <v>1000</v>
      </c>
      <c r="G81" s="221">
        <v>30</v>
      </c>
      <c r="H81" s="231">
        <f t="shared" si="9"/>
        <v>2250000</v>
      </c>
      <c r="I81" s="221">
        <v>12000</v>
      </c>
      <c r="J81" s="359">
        <v>1800</v>
      </c>
      <c r="K81" s="362">
        <f t="shared" si="10"/>
        <v>54</v>
      </c>
      <c r="X81" s="379"/>
      <c r="Y81" s="379"/>
      <c r="Z81" s="379"/>
    </row>
    <row r="82" spans="2:26" ht="12.75">
      <c r="B82" s="221">
        <v>22</v>
      </c>
      <c r="C82" s="278" t="s">
        <v>243</v>
      </c>
      <c r="D82" s="216"/>
      <c r="E82" s="376"/>
      <c r="F82" s="221">
        <v>1000</v>
      </c>
      <c r="G82" s="221">
        <v>35</v>
      </c>
      <c r="H82" s="231">
        <f t="shared" si="9"/>
        <v>3572916.6666666665</v>
      </c>
      <c r="I82" s="221">
        <v>12000</v>
      </c>
      <c r="J82" s="359">
        <v>1800</v>
      </c>
      <c r="K82" s="362">
        <f t="shared" si="10"/>
        <v>63.00000000000001</v>
      </c>
      <c r="X82" s="379"/>
      <c r="Y82" s="379"/>
      <c r="Z82" s="379"/>
    </row>
    <row r="83" spans="2:26" ht="12.75">
      <c r="B83" s="221">
        <v>23</v>
      </c>
      <c r="C83" s="278" t="s">
        <v>244</v>
      </c>
      <c r="D83" s="216"/>
      <c r="E83" s="376"/>
      <c r="F83" s="221">
        <v>1000</v>
      </c>
      <c r="G83" s="221">
        <v>40</v>
      </c>
      <c r="H83" s="231">
        <f t="shared" si="9"/>
        <v>5333333.333333333</v>
      </c>
      <c r="I83" s="221">
        <v>12000</v>
      </c>
      <c r="J83" s="359">
        <v>1800</v>
      </c>
      <c r="K83" s="362">
        <f t="shared" si="10"/>
        <v>72</v>
      </c>
      <c r="X83" s="379"/>
      <c r="Y83" s="379"/>
      <c r="Z83" s="379"/>
    </row>
    <row r="84" spans="2:26" ht="12.75">
      <c r="B84" s="221">
        <v>24</v>
      </c>
      <c r="C84" s="278" t="s">
        <v>245</v>
      </c>
      <c r="D84" s="216"/>
      <c r="E84" s="376"/>
      <c r="F84" s="221">
        <v>1000</v>
      </c>
      <c r="G84" s="221">
        <v>45</v>
      </c>
      <c r="H84" s="231">
        <f t="shared" si="9"/>
        <v>7593750</v>
      </c>
      <c r="I84" s="221">
        <v>12000</v>
      </c>
      <c r="J84" s="359">
        <v>1800</v>
      </c>
      <c r="K84" s="362">
        <f t="shared" si="10"/>
        <v>81</v>
      </c>
      <c r="X84" s="379"/>
      <c r="Y84" s="379"/>
      <c r="Z84" s="379"/>
    </row>
    <row r="85" spans="2:26" ht="12.75">
      <c r="B85" s="224">
        <v>25</v>
      </c>
      <c r="C85" s="235" t="s">
        <v>246</v>
      </c>
      <c r="D85" s="236"/>
      <c r="E85" s="369"/>
      <c r="F85" s="224">
        <v>1000</v>
      </c>
      <c r="G85" s="224">
        <v>50</v>
      </c>
      <c r="H85" s="237">
        <f t="shared" si="9"/>
        <v>10416666.666666666</v>
      </c>
      <c r="I85" s="224">
        <v>12000</v>
      </c>
      <c r="J85" s="224">
        <v>1800</v>
      </c>
      <c r="K85" s="364">
        <f t="shared" si="10"/>
        <v>90</v>
      </c>
      <c r="X85" s="36"/>
      <c r="Y85" s="36"/>
      <c r="Z85" s="36"/>
    </row>
    <row r="86" spans="2:10" ht="12.75">
      <c r="B86" s="231"/>
      <c r="C86" s="230"/>
      <c r="D86" s="216"/>
      <c r="E86" s="231"/>
      <c r="F86" s="231"/>
      <c r="G86" s="231"/>
      <c r="H86" s="231"/>
      <c r="I86" s="231"/>
      <c r="J86" s="353"/>
    </row>
    <row r="87" spans="2:10" ht="12.75">
      <c r="B87" s="888" t="s">
        <v>33</v>
      </c>
      <c r="C87" s="906"/>
      <c r="D87" s="906"/>
      <c r="E87" s="907"/>
      <c r="F87" s="223"/>
      <c r="G87" s="223"/>
      <c r="H87" s="238"/>
      <c r="I87" s="238"/>
      <c r="J87" s="223"/>
    </row>
    <row r="88" spans="2:10" ht="12.75">
      <c r="B88" s="253">
        <f>IF(C88=FALSE,1,2)</f>
        <v>1</v>
      </c>
      <c r="C88" s="7" t="b">
        <v>0</v>
      </c>
      <c r="D88" s="913" t="str">
        <f>IF(C88=FALSE,"1 x ","2 x")</f>
        <v>1 x </v>
      </c>
      <c r="E88" s="912"/>
      <c r="H88" s="230"/>
      <c r="I88" s="230"/>
      <c r="J88" s="216"/>
    </row>
    <row r="89" spans="2:10" ht="12.75">
      <c r="B89" s="230"/>
      <c r="C89" s="216"/>
      <c r="D89" s="216"/>
      <c r="H89" s="223"/>
      <c r="I89" s="223"/>
      <c r="J89" s="223"/>
    </row>
    <row r="90" spans="2:10" ht="12.75">
      <c r="B90" s="230"/>
      <c r="C90" s="216"/>
      <c r="D90" s="216"/>
      <c r="H90" s="223"/>
      <c r="I90" s="223"/>
      <c r="J90" s="223"/>
    </row>
    <row r="91" spans="11:38" ht="12.75">
      <c r="K91" s="216"/>
      <c r="L91" s="231"/>
      <c r="T91" s="223"/>
      <c r="U91" s="223"/>
      <c r="V91" s="223"/>
      <c r="AK91" s="216"/>
      <c r="AL91" s="216"/>
    </row>
    <row r="92" spans="2:38" ht="12.75">
      <c r="B92" s="343" t="s">
        <v>176</v>
      </c>
      <c r="C92" s="254"/>
      <c r="D92" s="340"/>
      <c r="E92" s="341"/>
      <c r="F92" s="254"/>
      <c r="G92" s="236"/>
      <c r="H92" s="342"/>
      <c r="I92" s="368"/>
      <c r="J92" s="368"/>
      <c r="K92" s="368"/>
      <c r="L92" s="236"/>
      <c r="M92" s="236"/>
      <c r="N92" s="236"/>
      <c r="O92" s="236"/>
      <c r="P92" s="236"/>
      <c r="Q92" s="236"/>
      <c r="R92" s="236"/>
      <c r="S92" s="236"/>
      <c r="T92" s="236"/>
      <c r="U92" s="236"/>
      <c r="V92" s="236"/>
      <c r="W92" s="368"/>
      <c r="X92" s="368"/>
      <c r="Y92" s="368"/>
      <c r="Z92" s="368"/>
      <c r="AA92" s="368"/>
      <c r="AB92" s="368"/>
      <c r="AC92" s="368"/>
      <c r="AK92" s="216"/>
      <c r="AL92" s="216"/>
    </row>
    <row r="93" spans="37:38" ht="12.75">
      <c r="AK93" s="216"/>
      <c r="AL93" s="216"/>
    </row>
    <row r="94" spans="2:38" ht="12.75">
      <c r="B94" s="301" t="s">
        <v>11</v>
      </c>
      <c r="C94" s="302"/>
      <c r="D94" s="303"/>
      <c r="E94" s="223"/>
      <c r="F94" s="247"/>
      <c r="G94" s="216"/>
      <c r="H94" s="216"/>
      <c r="AK94" s="216"/>
      <c r="AL94" s="216"/>
    </row>
    <row r="95" spans="2:8" ht="12.75">
      <c r="B95" s="248" t="s">
        <v>136</v>
      </c>
      <c r="C95" s="244"/>
      <c r="D95" s="241">
        <f>Palkkikirjasto!H12</f>
        <v>13800</v>
      </c>
      <c r="E95" s="230" t="s">
        <v>51</v>
      </c>
      <c r="F95" s="223"/>
      <c r="G95" s="223"/>
      <c r="H95" s="223"/>
    </row>
    <row r="96" spans="2:8" ht="12.75">
      <c r="B96" s="249" t="s">
        <v>218</v>
      </c>
      <c r="C96" s="216"/>
      <c r="D96" s="299">
        <f>AA12</f>
        <v>4238</v>
      </c>
      <c r="E96" s="250" t="s">
        <v>280</v>
      </c>
      <c r="F96" s="223"/>
      <c r="G96" s="223"/>
      <c r="H96" s="223"/>
    </row>
    <row r="97" spans="2:8" ht="12.75">
      <c r="B97" s="249" t="s">
        <v>279</v>
      </c>
      <c r="C97" s="216"/>
      <c r="D97" s="299">
        <f>AB12</f>
        <v>7862</v>
      </c>
      <c r="E97" s="250" t="s">
        <v>281</v>
      </c>
      <c r="F97" s="223"/>
      <c r="G97" s="223"/>
      <c r="H97" s="223"/>
    </row>
    <row r="98" spans="2:22" ht="12.75">
      <c r="B98" s="249" t="s">
        <v>184</v>
      </c>
      <c r="C98" s="216"/>
      <c r="D98" s="299">
        <f>O12</f>
        <v>3444</v>
      </c>
      <c r="E98" s="250" t="s">
        <v>220</v>
      </c>
      <c r="F98" s="223"/>
      <c r="G98" s="223"/>
      <c r="H98" s="223"/>
      <c r="I98" s="230"/>
      <c r="J98" s="216"/>
      <c r="K98" s="216"/>
      <c r="L98" s="216"/>
      <c r="M98" s="223"/>
      <c r="N98" s="223"/>
      <c r="O98" s="223"/>
      <c r="P98" s="223"/>
      <c r="Q98" s="223"/>
      <c r="R98" s="223"/>
      <c r="S98" s="223"/>
      <c r="T98" s="223"/>
      <c r="U98" s="223"/>
      <c r="V98" s="223"/>
    </row>
    <row r="99" spans="2:8" ht="12.75">
      <c r="B99" s="251" t="s">
        <v>185</v>
      </c>
      <c r="C99" s="236"/>
      <c r="D99" s="300">
        <f>P12</f>
        <v>8556</v>
      </c>
      <c r="E99" s="250" t="s">
        <v>221</v>
      </c>
      <c r="F99" s="223"/>
      <c r="G99" s="223"/>
      <c r="H99" s="223"/>
    </row>
    <row r="100" spans="12:18" ht="12.75">
      <c r="L100" s="216"/>
      <c r="M100" s="223"/>
      <c r="N100" s="223"/>
      <c r="O100" s="223"/>
      <c r="P100" s="223"/>
      <c r="Q100" s="223"/>
      <c r="R100" s="223"/>
    </row>
    <row r="101" spans="2:13" ht="12.75">
      <c r="B101" s="295" t="s">
        <v>32</v>
      </c>
      <c r="C101" s="296"/>
      <c r="D101" s="297"/>
      <c r="I101" s="216"/>
      <c r="J101" s="223"/>
      <c r="M101" s="216"/>
    </row>
    <row r="102" spans="2:34" ht="12.75">
      <c r="B102" s="242" t="s">
        <v>262</v>
      </c>
      <c r="C102" s="244"/>
      <c r="D102" s="241">
        <f>IF(B88=2,2*Palkkikirjasto!F12,Palkkikirjasto!F12)</f>
        <v>51</v>
      </c>
      <c r="I102" s="223"/>
      <c r="J102" s="247"/>
      <c r="M102" s="265"/>
      <c r="Q102" s="687" t="s">
        <v>442</v>
      </c>
      <c r="X102" s="427"/>
      <c r="AH102" s="216"/>
    </row>
    <row r="103" spans="2:34" ht="12.75">
      <c r="B103" s="222" t="s">
        <v>261</v>
      </c>
      <c r="C103" s="216"/>
      <c r="D103" s="221">
        <f>Palkkikirjasto!G12</f>
        <v>300</v>
      </c>
      <c r="I103" s="223"/>
      <c r="J103" s="223"/>
      <c r="M103" s="216"/>
      <c r="P103" s="344"/>
      <c r="X103" s="427"/>
      <c r="AH103" s="216"/>
    </row>
    <row r="104" spans="2:34" ht="12.75">
      <c r="B104" s="222" t="s">
        <v>99</v>
      </c>
      <c r="C104" s="216"/>
      <c r="D104" s="346">
        <f>D102*D103</f>
        <v>15300</v>
      </c>
      <c r="I104" s="434" t="s">
        <v>31</v>
      </c>
      <c r="J104" s="435" t="s">
        <v>89</v>
      </c>
      <c r="K104" s="436"/>
      <c r="L104" s="910" t="s">
        <v>142</v>
      </c>
      <c r="M104" s="911"/>
      <c r="N104" s="912"/>
      <c r="O104" s="434" t="s">
        <v>119</v>
      </c>
      <c r="P104" s="530" t="s">
        <v>38</v>
      </c>
      <c r="Q104" s="530" t="s">
        <v>441</v>
      </c>
      <c r="R104" s="530" t="s">
        <v>445</v>
      </c>
      <c r="U104" s="914"/>
      <c r="V104" s="915"/>
      <c r="W104" s="383" t="s">
        <v>444</v>
      </c>
      <c r="X104" s="383" t="s">
        <v>43</v>
      </c>
      <c r="Y104" s="698" t="s">
        <v>316</v>
      </c>
      <c r="Z104" s="698" t="s">
        <v>317</v>
      </c>
      <c r="AA104" s="699" t="s">
        <v>318</v>
      </c>
      <c r="AB104" s="344"/>
      <c r="AC104" s="344"/>
      <c r="AD104" s="344"/>
      <c r="AE104" s="216"/>
      <c r="AF104" s="216"/>
      <c r="AG104" s="216"/>
      <c r="AH104" s="216"/>
    </row>
    <row r="105" spans="2:34" ht="12.75">
      <c r="B105" s="225" t="s">
        <v>260</v>
      </c>
      <c r="C105" s="236"/>
      <c r="D105" s="224">
        <f>D102*D103^3/12</f>
        <v>114750000</v>
      </c>
      <c r="I105" s="360">
        <v>3</v>
      </c>
      <c r="J105" s="219" t="str">
        <f>VLOOKUP(I105,I106:R119,2)</f>
        <v>Kampanaula</v>
      </c>
      <c r="K105" s="439"/>
      <c r="L105" s="219">
        <f>VLOOKUP(I105,I106:R119,4)</f>
      </c>
      <c r="M105" s="729"/>
      <c r="N105" s="367"/>
      <c r="O105" s="218">
        <f>VLOOKUP(I105,I106:R119,7)</f>
        <v>2.5</v>
      </c>
      <c r="P105" s="218">
        <f>VLOOKUP(I105,I106:R119,8)</f>
        <v>60</v>
      </c>
      <c r="Q105" s="218">
        <f>VLOOKUP(I105,I106:R119,9)</f>
        <v>0</v>
      </c>
      <c r="R105" s="218">
        <f>VLOOKUP(I105,I106:R119,10)</f>
        <v>0</v>
      </c>
      <c r="U105" s="916" t="s">
        <v>319</v>
      </c>
      <c r="V105" s="890"/>
      <c r="W105" s="528" t="str">
        <f>IF(J105="Kampanaula","min(5; 0,5t)","-")</f>
        <v>min(5; 0,5t)</v>
      </c>
      <c r="X105" s="700" t="str">
        <f>IF(J105="Ruuvi","min(5; 0,5t)","-")</f>
        <v>-</v>
      </c>
      <c r="Y105" s="695">
        <f>MIN(5,(0.5*M12))</f>
        <v>5</v>
      </c>
      <c r="Z105" s="695">
        <f>O105</f>
        <v>2.5</v>
      </c>
      <c r="AA105" s="693" t="str">
        <f>IF(Z105&gt;=Y105,"VIRHE","OK")</f>
        <v>OK</v>
      </c>
      <c r="AB105" s="344"/>
      <c r="AC105" s="344"/>
      <c r="AD105" s="344"/>
      <c r="AE105" s="216"/>
      <c r="AF105" s="216"/>
      <c r="AG105" s="216"/>
      <c r="AH105" s="216"/>
    </row>
    <row r="106" spans="9:28" ht="12.75">
      <c r="I106" s="432">
        <v>1</v>
      </c>
      <c r="J106" s="428" t="s">
        <v>16</v>
      </c>
      <c r="K106" s="429"/>
      <c r="L106" s="726">
        <f>IF(OR(C108="Liittorakenne palkin kanssa (liimaliitos)",C108="Ei liittorakennetta"),"","Pyöreä kampanaula - 2,5 x 50")</f>
      </c>
      <c r="M106" s="282"/>
      <c r="N106" s="375"/>
      <c r="O106" s="407">
        <v>2.5</v>
      </c>
      <c r="P106" s="527">
        <v>50</v>
      </c>
      <c r="Q106" s="527"/>
      <c r="R106" s="527"/>
      <c r="U106" s="917" t="s">
        <v>443</v>
      </c>
      <c r="V106" s="918"/>
      <c r="W106" s="697" t="str">
        <f>IF(J105="Kampanaula","min 12d","-")</f>
        <v>min 12d</v>
      </c>
      <c r="X106" s="370" t="str">
        <f>IF(J105="Ruuvi","max(6d; 8def)","-")</f>
        <v>-</v>
      </c>
      <c r="Y106" s="696">
        <f>IF(J105="Kampanaula",12*O105,MAX(6*R105,8*O105))</f>
        <v>30</v>
      </c>
      <c r="Z106" s="696">
        <f>P105-M12</f>
        <v>42</v>
      </c>
      <c r="AA106" s="694" t="str">
        <f>IF(AND(Z106&gt;=Y106,Z106&gt;=Q105),"OK","VIRHE!")</f>
        <v>OK</v>
      </c>
      <c r="AB106" s="223"/>
    </row>
    <row r="107" spans="2:28" ht="12.75">
      <c r="B107" s="298" t="s">
        <v>100</v>
      </c>
      <c r="C107" s="296"/>
      <c r="D107" s="297"/>
      <c r="I107" s="432">
        <v>2</v>
      </c>
      <c r="J107" s="428" t="s">
        <v>16</v>
      </c>
      <c r="K107" s="429"/>
      <c r="L107" s="428">
        <f>IF(OR(C108="Liittorakenne palkin kanssa (liimaliitos)",C108="Ei liittorakennetta"),"","Pyöreä kampanaula - 2,5 x 55")</f>
      </c>
      <c r="M107" s="230"/>
      <c r="N107" s="376"/>
      <c r="O107" s="407">
        <v>2.5</v>
      </c>
      <c r="P107" s="528">
        <v>55</v>
      </c>
      <c r="Q107" s="528"/>
      <c r="R107" s="528"/>
      <c r="X107" s="427"/>
      <c r="Y107" s="223"/>
      <c r="Z107" s="223"/>
      <c r="AA107" s="223"/>
      <c r="AB107" s="223"/>
    </row>
    <row r="108" spans="2:24" ht="12.75">
      <c r="B108" s="218">
        <v>3</v>
      </c>
      <c r="C108" s="219" t="str">
        <f>VLOOKUP(B108,B109:D111,2)</f>
        <v>Liittorakenne palkin kanssa (liimaliitos)</v>
      </c>
      <c r="D108" s="220"/>
      <c r="I108" s="432">
        <v>3</v>
      </c>
      <c r="J108" s="428" t="s">
        <v>16</v>
      </c>
      <c r="K108" s="429"/>
      <c r="L108" s="428">
        <f>IF(OR(C108="Liittorakenne palkin kanssa (liimaliitos)",C108="Ei liittorakennetta"),"","Pyöreä kampanaula - 2,5 x 60")</f>
      </c>
      <c r="M108" s="230"/>
      <c r="N108" s="376"/>
      <c r="O108" s="407">
        <v>2.5</v>
      </c>
      <c r="P108" s="528">
        <v>60</v>
      </c>
      <c r="Q108" s="528"/>
      <c r="R108" s="528"/>
      <c r="X108" s="427"/>
    </row>
    <row r="109" spans="2:24" ht="12.75">
      <c r="B109" s="241">
        <v>1</v>
      </c>
      <c r="C109" s="230" t="s">
        <v>98</v>
      </c>
      <c r="D109" s="256"/>
      <c r="I109" s="432">
        <v>4</v>
      </c>
      <c r="J109" s="428" t="s">
        <v>16</v>
      </c>
      <c r="K109" s="429"/>
      <c r="L109" s="428">
        <f>IF(OR(C108="Liittorakenne palkin kanssa (liimaliitos)",C108="Ei liittorakennetta"),"","Pyöreä kampanaula - 2,5 x 65")</f>
      </c>
      <c r="M109" s="230"/>
      <c r="N109" s="376"/>
      <c r="O109" s="407">
        <v>2.5</v>
      </c>
      <c r="P109" s="378">
        <v>65</v>
      </c>
      <c r="Q109" s="378"/>
      <c r="R109" s="378"/>
      <c r="X109" s="427"/>
    </row>
    <row r="110" spans="2:24" ht="12.75">
      <c r="B110" s="221">
        <v>2</v>
      </c>
      <c r="C110" s="230" t="str">
        <f>IF(I12=0,"Ei liittorakennetta","Liittorakenne palkin kanssa (puikkoliittimet)")</f>
        <v>Liittorakenne palkin kanssa (puikkoliittimet)</v>
      </c>
      <c r="D110" s="256"/>
      <c r="I110" s="440">
        <v>5</v>
      </c>
      <c r="J110" s="441" t="s">
        <v>16</v>
      </c>
      <c r="K110" s="442"/>
      <c r="L110" s="441">
        <f>IF(OR(C108="Liittorakenne palkin kanssa (liimaliitos)",C108="Ei liittorakennetta"),"","Pyöreä kampanaula - 2,5 x 70")</f>
      </c>
      <c r="M110" s="727"/>
      <c r="N110" s="390"/>
      <c r="O110" s="529">
        <v>2.5</v>
      </c>
      <c r="P110" s="639">
        <v>70</v>
      </c>
      <c r="Q110" s="639"/>
      <c r="R110" s="639"/>
      <c r="X110" s="427"/>
    </row>
    <row r="111" spans="2:24" ht="12.75">
      <c r="B111" s="224">
        <v>3</v>
      </c>
      <c r="C111" s="257" t="str">
        <f>IF(I12=0,"Ei liittorakennetta","Liittorakenne palkin kanssa (liimaliitos)")</f>
        <v>Liittorakenne palkin kanssa (liimaliitos)</v>
      </c>
      <c r="D111" s="226"/>
      <c r="F111" s="295" t="s">
        <v>249</v>
      </c>
      <c r="G111" s="297"/>
      <c r="I111" s="432">
        <v>6</v>
      </c>
      <c r="J111" s="428" t="s">
        <v>16</v>
      </c>
      <c r="K111" s="429"/>
      <c r="L111" s="428">
        <f>IF(OR(C108="Liittorakenne palkin kanssa (liimaliitos)",C108="Ei liittorakennetta"),"","Pyöreä kampanaula - 2,8 x 50")</f>
      </c>
      <c r="M111" s="230"/>
      <c r="N111" s="376"/>
      <c r="O111" s="407">
        <v>2.8</v>
      </c>
      <c r="P111" s="378">
        <v>50</v>
      </c>
      <c r="Q111" s="378"/>
      <c r="R111" s="378"/>
      <c r="X111" s="427"/>
    </row>
    <row r="112" spans="6:24" ht="12.75">
      <c r="F112" s="239">
        <v>3</v>
      </c>
      <c r="G112" s="425">
        <f>VLOOKUP(F112,F113:G117,2)</f>
      </c>
      <c r="I112" s="432">
        <v>7</v>
      </c>
      <c r="J112" s="428" t="s">
        <v>16</v>
      </c>
      <c r="K112" s="429"/>
      <c r="L112" s="428">
        <f>IF(OR(C108="Liittorakenne palkin kanssa (liimaliitos)",C108="Ei liittorakennetta"),"","Pyöreä kampanaula - 2,8 x 60")</f>
      </c>
      <c r="M112" s="230"/>
      <c r="N112" s="376"/>
      <c r="O112" s="407">
        <v>2.8</v>
      </c>
      <c r="P112" s="378">
        <v>60</v>
      </c>
      <c r="Q112" s="378"/>
      <c r="R112" s="378"/>
      <c r="S112" s="344"/>
      <c r="T112" s="344"/>
      <c r="U112" s="344"/>
      <c r="V112" s="344"/>
      <c r="W112" s="344"/>
      <c r="X112" s="427"/>
    </row>
    <row r="113" spans="2:24" ht="12.75">
      <c r="B113" s="304" t="s">
        <v>254</v>
      </c>
      <c r="C113" s="305"/>
      <c r="D113" s="306"/>
      <c r="F113" s="241">
        <v>1</v>
      </c>
      <c r="G113" s="723">
        <f>IF(OR(C108="Liittorakenne palkin kanssa (liimaliitos)",C108="Ei liittorakennetta"),"",50)</f>
      </c>
      <c r="I113" s="440">
        <v>8</v>
      </c>
      <c r="J113" s="441" t="s">
        <v>16</v>
      </c>
      <c r="K113" s="442"/>
      <c r="L113" s="441">
        <f>IF(OR(C108="Liittorakenne palkin kanssa (liimaliitos)",C108="Ei liittorakennetta"),"","Pyöreä kampanaula - 2,8 x 75")</f>
      </c>
      <c r="M113" s="727"/>
      <c r="N113" s="390"/>
      <c r="O113" s="529">
        <v>2.8</v>
      </c>
      <c r="P113" s="639">
        <v>75</v>
      </c>
      <c r="Q113" s="639"/>
      <c r="R113" s="639"/>
      <c r="S113" s="344"/>
      <c r="T113" s="344"/>
      <c r="U113" s="344"/>
      <c r="V113" s="344"/>
      <c r="W113" s="344"/>
      <c r="X113" s="427"/>
    </row>
    <row r="114" spans="2:24" ht="12.75">
      <c r="B114" s="371" t="s">
        <v>3</v>
      </c>
      <c r="C114" s="384" t="e">
        <f>#REF!</f>
        <v>#REF!</v>
      </c>
      <c r="D114" s="220"/>
      <c r="F114" s="221">
        <v>2</v>
      </c>
      <c r="G114" s="724">
        <f>IF(OR(C108="Liittorakenne palkin kanssa (liimaliitos)",C108="Ei liittorakennetta"),"",75)</f>
      </c>
      <c r="I114" s="432">
        <v>9</v>
      </c>
      <c r="J114" s="428" t="s">
        <v>43</v>
      </c>
      <c r="K114" s="429"/>
      <c r="L114" s="428">
        <f>IF(OR(C108="Liittorakenne palkin kanssa (liimaliitos)",C108="Ei liittorakennetta"),"","Ruuvi (osakierre) - 4,0 x 45")</f>
      </c>
      <c r="M114" s="689"/>
      <c r="N114" s="728"/>
      <c r="O114" s="690">
        <v>2.8</v>
      </c>
      <c r="P114" s="378">
        <v>45</v>
      </c>
      <c r="Q114" s="378">
        <v>29</v>
      </c>
      <c r="R114" s="701">
        <v>4</v>
      </c>
      <c r="S114" s="344"/>
      <c r="T114" s="344"/>
      <c r="U114" s="344"/>
      <c r="V114" s="344"/>
      <c r="W114" s="344"/>
      <c r="X114" s="427"/>
    </row>
    <row r="115" spans="2:24" ht="12.75">
      <c r="B115" s="253">
        <v>1</v>
      </c>
      <c r="C115" s="254" t="str">
        <f>VLOOKUP(B115,B116:D117,2)</f>
        <v>Tehdasliimaus</v>
      </c>
      <c r="D115" s="226"/>
      <c r="F115" s="221">
        <v>3</v>
      </c>
      <c r="G115" s="724">
        <f>IF(OR(C108="Liittorakenne palkin kanssa (liimaliitos)",C108="Ei liittorakennetta"),"",100)</f>
      </c>
      <c r="I115" s="432">
        <v>10</v>
      </c>
      <c r="J115" s="428" t="s">
        <v>43</v>
      </c>
      <c r="K115" s="429"/>
      <c r="L115" s="428">
        <f>IF(OR(C108="Liittorakenne palkin kanssa (liimaliitos)",C108="Ei liittorakennetta"),"","Ruuvi (osakierre) - 4,0 x 50")</f>
      </c>
      <c r="M115" s="689"/>
      <c r="N115" s="376"/>
      <c r="O115" s="690">
        <v>2.8</v>
      </c>
      <c r="P115" s="378">
        <v>50</v>
      </c>
      <c r="Q115" s="378">
        <v>30</v>
      </c>
      <c r="R115" s="701">
        <v>4</v>
      </c>
      <c r="S115" s="1"/>
      <c r="T115" s="344"/>
      <c r="U115" s="526"/>
      <c r="V115" s="526"/>
      <c r="W115" s="526"/>
      <c r="X115" s="427"/>
    </row>
    <row r="116" spans="2:23" ht="12.75">
      <c r="B116" s="255">
        <v>1</v>
      </c>
      <c r="C116" s="242" t="str">
        <f>IF(C108="Ei liittorakennetta","",IF(B108=3,"Tehdasliimaus",""))</f>
        <v>Tehdasliimaus</v>
      </c>
      <c r="D116" s="243"/>
      <c r="F116" s="221">
        <v>4</v>
      </c>
      <c r="G116" s="724">
        <f>IF(OR(C108="Liittorakenne palkin kanssa (liimaliitos)",C108="Ei liittorakennetta"),"",125)</f>
      </c>
      <c r="I116" s="432">
        <v>11</v>
      </c>
      <c r="J116" s="428" t="s">
        <v>43</v>
      </c>
      <c r="K116" s="429"/>
      <c r="L116" s="428">
        <f>IF(OR(C108="Liittorakenne palkin kanssa (liimaliitos)",C108="Ei liittorakennetta"),"","Ruuvi (osakierre) - 4,0 x 55")</f>
      </c>
      <c r="M116" s="689"/>
      <c r="N116" s="376"/>
      <c r="O116" s="690">
        <v>2.8</v>
      </c>
      <c r="P116" s="378">
        <v>55</v>
      </c>
      <c r="Q116" s="378">
        <v>34</v>
      </c>
      <c r="R116" s="701">
        <v>4</v>
      </c>
      <c r="S116" s="344"/>
      <c r="T116" s="344"/>
      <c r="U116" s="344"/>
      <c r="V116" s="344"/>
      <c r="W116" s="344"/>
    </row>
    <row r="117" spans="2:25" ht="12.75">
      <c r="B117" s="224">
        <v>2</v>
      </c>
      <c r="C117" s="225" t="str">
        <f>IF(C108="Ei liittorakennetta","",IF(B108=3,"Työmaaliimaus",""))</f>
        <v>Työmaaliimaus</v>
      </c>
      <c r="D117" s="226"/>
      <c r="F117" s="224">
        <v>5</v>
      </c>
      <c r="G117" s="725">
        <f>IF(OR(C108="Liittorakenne palkin kanssa (liimaliitos)",C108="Ei liittorakennetta"),"",150)</f>
      </c>
      <c r="I117" s="432">
        <v>12</v>
      </c>
      <c r="J117" s="428" t="s">
        <v>43</v>
      </c>
      <c r="K117" s="689"/>
      <c r="L117" s="428">
        <f>IF(OR(C108="Liittorakenne palkin kanssa (liimaliitos)",C108="Ei liittorakennetta"),"","Ruuvi (osakierre) - 4,0 x 60")</f>
      </c>
      <c r="M117" s="689"/>
      <c r="N117" s="376"/>
      <c r="O117" s="690">
        <v>2.8</v>
      </c>
      <c r="P117" s="688">
        <v>60</v>
      </c>
      <c r="Q117" s="688">
        <v>34</v>
      </c>
      <c r="R117" s="702">
        <v>4</v>
      </c>
      <c r="S117" s="526"/>
      <c r="T117" s="705"/>
      <c r="U117" s="526"/>
      <c r="V117" s="526"/>
      <c r="W117" s="526"/>
      <c r="X117" s="379"/>
      <c r="Y117" s="344"/>
    </row>
    <row r="118" spans="9:25" ht="12.75">
      <c r="I118" s="432">
        <v>13</v>
      </c>
      <c r="J118" s="428" t="s">
        <v>43</v>
      </c>
      <c r="L118" s="466">
        <f>IF(OR(C108="Liittorakenne palkin kanssa (liimaliitos)",C108="Ei liittorakennetta"),"","Ruuvi (osakierre) - 4,0 x 70")</f>
      </c>
      <c r="M118" s="344"/>
      <c r="N118" s="376"/>
      <c r="O118" s="690">
        <v>2.8</v>
      </c>
      <c r="P118" s="432">
        <v>70</v>
      </c>
      <c r="Q118" s="432">
        <v>39</v>
      </c>
      <c r="R118" s="703">
        <v>4</v>
      </c>
      <c r="S118" s="344"/>
      <c r="T118" s="344"/>
      <c r="U118" s="344"/>
      <c r="V118" s="344"/>
      <c r="W118" s="344"/>
      <c r="X118" s="379"/>
      <c r="Y118" s="344"/>
    </row>
    <row r="119" spans="2:25" ht="12.75">
      <c r="B119" s="298" t="s">
        <v>123</v>
      </c>
      <c r="C119" s="307"/>
      <c r="D119" s="311"/>
      <c r="E119" s="250"/>
      <c r="F119" s="216"/>
      <c r="G119" s="216"/>
      <c r="H119" s="216"/>
      <c r="I119" s="433">
        <v>14</v>
      </c>
      <c r="J119" s="430" t="s">
        <v>43</v>
      </c>
      <c r="K119" s="368"/>
      <c r="L119" s="471">
        <f>IF(OR(C108="Liittorakenne palkin kanssa (liimaliitos)",C108="Ei liittorakennetta"),"","Ruuvi (osakierre) - 4,0 x 80")</f>
      </c>
      <c r="M119" s="368"/>
      <c r="N119" s="369"/>
      <c r="O119" s="691">
        <v>2.8</v>
      </c>
      <c r="P119" s="433">
        <v>80</v>
      </c>
      <c r="Q119" s="433">
        <v>39</v>
      </c>
      <c r="R119" s="704">
        <v>4</v>
      </c>
      <c r="S119" s="36"/>
      <c r="T119" s="344"/>
      <c r="U119" s="344"/>
      <c r="V119" s="379"/>
      <c r="W119" s="344"/>
      <c r="X119" s="379"/>
      <c r="Y119" s="344"/>
    </row>
    <row r="120" spans="2:25" ht="12.75">
      <c r="B120" s="222" t="s">
        <v>71</v>
      </c>
      <c r="C120" s="216"/>
      <c r="D120" s="221">
        <f>IF(Z12="y",25*M12,IF(Z12="x",20*M12,"Virhe!"))</f>
        <v>450</v>
      </c>
      <c r="E120" s="250" t="s">
        <v>439</v>
      </c>
      <c r="F120" s="250"/>
      <c r="G120" s="250"/>
      <c r="H120" s="250"/>
      <c r="I120" s="216"/>
      <c r="L120" s="223"/>
      <c r="O120" s="36"/>
      <c r="P120" s="36"/>
      <c r="Q120" s="36"/>
      <c r="R120" s="36"/>
      <c r="S120" s="36"/>
      <c r="T120" s="344"/>
      <c r="U120" s="344"/>
      <c r="V120" s="379"/>
      <c r="W120" s="344"/>
      <c r="X120" s="379"/>
      <c r="Y120" s="344"/>
    </row>
    <row r="121" spans="2:25" ht="12.75">
      <c r="B121" s="222" t="s">
        <v>52</v>
      </c>
      <c r="C121" s="216"/>
      <c r="D121" s="221">
        <f>D120+D102</f>
        <v>501</v>
      </c>
      <c r="E121" s="250"/>
      <c r="F121" s="216"/>
      <c r="G121" s="216"/>
      <c r="H121" s="216"/>
      <c r="I121" s="216"/>
      <c r="J121" s="223"/>
      <c r="K121" s="223"/>
      <c r="L121" s="223"/>
      <c r="O121" s="36"/>
      <c r="P121" s="36"/>
      <c r="Q121" s="36"/>
      <c r="R121" s="36"/>
      <c r="S121" s="36"/>
      <c r="T121" s="344"/>
      <c r="U121" s="344"/>
      <c r="V121" s="379"/>
      <c r="W121" s="344"/>
      <c r="X121" s="379"/>
      <c r="Y121" s="344"/>
    </row>
    <row r="122" spans="2:25" ht="12.75">
      <c r="B122" s="222" t="s">
        <v>71</v>
      </c>
      <c r="C122" s="216"/>
      <c r="D122" s="221">
        <f>0.1*Mitoitus!H36</f>
        <v>500</v>
      </c>
      <c r="E122" s="216" t="s">
        <v>121</v>
      </c>
      <c r="F122" s="216"/>
      <c r="G122" s="216"/>
      <c r="H122" s="216"/>
      <c r="I122" s="216"/>
      <c r="J122" s="216"/>
      <c r="K122" s="223"/>
      <c r="L122" s="216"/>
      <c r="O122" s="344"/>
      <c r="P122" s="344"/>
      <c r="Q122" s="344"/>
      <c r="R122" s="344"/>
      <c r="S122" s="344"/>
      <c r="T122" s="344"/>
      <c r="U122" s="344"/>
      <c r="V122" s="344"/>
      <c r="W122" s="344"/>
      <c r="X122" s="344"/>
      <c r="Y122" s="344"/>
    </row>
    <row r="123" spans="2:25" ht="12.75">
      <c r="B123" s="222" t="s">
        <v>52</v>
      </c>
      <c r="C123" s="216"/>
      <c r="D123" s="221">
        <f>D122+D102</f>
        <v>551</v>
      </c>
      <c r="E123" s="216"/>
      <c r="F123" s="216"/>
      <c r="G123" s="216"/>
      <c r="H123" s="216"/>
      <c r="I123" s="216"/>
      <c r="J123" s="216"/>
      <c r="K123" s="223"/>
      <c r="L123" s="216"/>
      <c r="O123" s="344"/>
      <c r="P123" s="344"/>
      <c r="Q123" s="344"/>
      <c r="R123" s="344"/>
      <c r="S123" s="344"/>
      <c r="T123" s="344"/>
      <c r="U123" s="344"/>
      <c r="V123" s="344"/>
      <c r="W123" s="344"/>
      <c r="X123" s="344"/>
      <c r="Y123" s="344"/>
    </row>
    <row r="124" spans="2:12" ht="12.75">
      <c r="B124" s="448" t="s">
        <v>56</v>
      </c>
      <c r="C124" s="449"/>
      <c r="D124" s="450">
        <f>MIN(D137,D121,D123)</f>
        <v>400</v>
      </c>
      <c r="E124" s="446" t="s">
        <v>257</v>
      </c>
      <c r="F124" s="446"/>
      <c r="G124" s="446"/>
      <c r="H124" s="216"/>
      <c r="I124" s="216"/>
      <c r="J124" s="223"/>
      <c r="K124" s="216"/>
      <c r="L124" s="351"/>
    </row>
    <row r="125" spans="2:12" ht="12.75">
      <c r="B125" s="248" t="s">
        <v>71</v>
      </c>
      <c r="C125" s="451"/>
      <c r="D125" s="377">
        <f>30*M12</f>
        <v>540</v>
      </c>
      <c r="E125" s="250" t="s">
        <v>259</v>
      </c>
      <c r="F125" s="250"/>
      <c r="G125" s="250"/>
      <c r="H125" s="216"/>
      <c r="J125" s="344"/>
      <c r="K125" s="344"/>
      <c r="L125" s="344"/>
    </row>
    <row r="126" spans="2:12" ht="12.75">
      <c r="B126" s="271" t="s">
        <v>56</v>
      </c>
      <c r="C126" s="452"/>
      <c r="D126" s="299">
        <f>D125+D102</f>
        <v>591</v>
      </c>
      <c r="E126" s="250"/>
      <c r="F126" s="250"/>
      <c r="G126" s="250"/>
      <c r="H126" s="216"/>
      <c r="J126" s="344"/>
      <c r="K126" s="344"/>
      <c r="L126" s="352"/>
    </row>
    <row r="127" spans="2:12" ht="12.75">
      <c r="B127" s="271" t="s">
        <v>71</v>
      </c>
      <c r="C127" s="452"/>
      <c r="D127" s="299">
        <f>0.2*Mitoitus!H36</f>
        <v>1000</v>
      </c>
      <c r="E127" s="250" t="s">
        <v>122</v>
      </c>
      <c r="F127" s="250"/>
      <c r="G127" s="250"/>
      <c r="H127" s="216"/>
      <c r="J127" s="344"/>
      <c r="K127" s="344"/>
      <c r="L127" s="216"/>
    </row>
    <row r="128" spans="2:10" ht="12.75">
      <c r="B128" s="271" t="s">
        <v>56</v>
      </c>
      <c r="C128" s="452"/>
      <c r="D128" s="299">
        <f>D127+D102</f>
        <v>1051</v>
      </c>
      <c r="E128" s="250"/>
      <c r="F128" s="250"/>
      <c r="G128" s="250"/>
      <c r="H128" s="216"/>
      <c r="J128" s="344"/>
    </row>
    <row r="129" spans="2:12" ht="12.75">
      <c r="B129" s="448" t="s">
        <v>56</v>
      </c>
      <c r="C129" s="453"/>
      <c r="D129" s="454">
        <f>MIN(D137,D126,D128)</f>
        <v>400</v>
      </c>
      <c r="E129" s="446" t="s">
        <v>103</v>
      </c>
      <c r="F129" s="446"/>
      <c r="G129" s="446"/>
      <c r="H129" s="216"/>
      <c r="J129" s="344"/>
      <c r="K129" s="344"/>
      <c r="L129" s="216"/>
    </row>
    <row r="130" spans="2:17" ht="12.75">
      <c r="B130" s="271" t="s">
        <v>71</v>
      </c>
      <c r="C130" s="250"/>
      <c r="D130" s="377">
        <f>25*M12</f>
        <v>450</v>
      </c>
      <c r="E130" s="250" t="s">
        <v>198</v>
      </c>
      <c r="F130" s="250"/>
      <c r="G130" s="250"/>
      <c r="H130" s="216"/>
      <c r="J130" s="344"/>
      <c r="K130" s="344"/>
      <c r="L130" s="216"/>
      <c r="M130" s="216"/>
      <c r="N130" s="216"/>
      <c r="O130" s="216"/>
      <c r="P130" s="216"/>
      <c r="Q130" s="216"/>
    </row>
    <row r="131" spans="2:18" ht="12.75">
      <c r="B131" s="271" t="s">
        <v>56</v>
      </c>
      <c r="C131" s="250"/>
      <c r="D131" s="299">
        <f>D130+D102</f>
        <v>501</v>
      </c>
      <c r="E131" s="250"/>
      <c r="F131" s="250"/>
      <c r="G131" s="250"/>
      <c r="H131" s="216"/>
      <c r="J131" s="344"/>
      <c r="K131" s="344"/>
      <c r="L131" s="216"/>
      <c r="M131" s="216"/>
      <c r="N131" s="216"/>
      <c r="O131" s="216"/>
      <c r="P131" s="216"/>
      <c r="Q131" s="216"/>
      <c r="R131" s="216"/>
    </row>
    <row r="132" spans="2:18" ht="12.75">
      <c r="B132" s="271" t="s">
        <v>71</v>
      </c>
      <c r="C132" s="250"/>
      <c r="D132" s="299">
        <f>0.15*Mitoitus!H36</f>
        <v>750</v>
      </c>
      <c r="E132" s="250" t="s">
        <v>199</v>
      </c>
      <c r="F132" s="250"/>
      <c r="G132" s="250"/>
      <c r="H132" s="216"/>
      <c r="J132" s="344"/>
      <c r="K132" s="344"/>
      <c r="L132" s="216"/>
      <c r="M132" s="216"/>
      <c r="N132" s="216"/>
      <c r="O132" s="216"/>
      <c r="P132" s="216"/>
      <c r="Q132" s="216"/>
      <c r="R132" s="216"/>
    </row>
    <row r="133" spans="2:18" ht="12.75">
      <c r="B133" s="271" t="s">
        <v>56</v>
      </c>
      <c r="C133" s="250"/>
      <c r="D133" s="299">
        <f>D132+D102</f>
        <v>801</v>
      </c>
      <c r="E133" s="250"/>
      <c r="F133" s="250"/>
      <c r="G133" s="250"/>
      <c r="H133" s="216"/>
      <c r="J133" s="344"/>
      <c r="K133" s="344"/>
      <c r="L133" s="216"/>
      <c r="M133" s="216"/>
      <c r="N133" s="216"/>
      <c r="O133" s="216"/>
      <c r="P133" s="216"/>
      <c r="Q133" s="216"/>
      <c r="R133" s="216"/>
    </row>
    <row r="134" spans="2:18" ht="12.75">
      <c r="B134" s="448" t="s">
        <v>56</v>
      </c>
      <c r="C134" s="449"/>
      <c r="D134" s="450">
        <f>MIN(D137,D131,D133)</f>
        <v>400</v>
      </c>
      <c r="E134" s="446" t="s">
        <v>258</v>
      </c>
      <c r="F134" s="446"/>
      <c r="G134" s="446"/>
      <c r="H134" s="216"/>
      <c r="J134" s="344"/>
      <c r="K134" s="344"/>
      <c r="L134" s="216"/>
      <c r="M134" s="216"/>
      <c r="N134" s="216"/>
      <c r="O134" s="216"/>
      <c r="P134" s="216"/>
      <c r="Q134" s="216"/>
      <c r="R134" s="216"/>
    </row>
    <row r="135" spans="2:18" ht="12.75">
      <c r="B135" s="246"/>
      <c r="C135" s="455"/>
      <c r="D135" s="456"/>
      <c r="E135" s="250"/>
      <c r="F135" s="250"/>
      <c r="G135" s="250"/>
      <c r="H135" s="216"/>
      <c r="J135" s="344"/>
      <c r="K135" s="344"/>
      <c r="L135" s="216"/>
      <c r="M135" s="216"/>
      <c r="N135" s="216"/>
      <c r="O135" s="216"/>
      <c r="P135" s="216"/>
      <c r="Q135" s="216"/>
      <c r="R135" s="216"/>
    </row>
    <row r="136" spans="2:18" ht="12.75">
      <c r="B136" s="544" t="s">
        <v>70</v>
      </c>
      <c r="C136" s="640"/>
      <c r="D136" s="641">
        <f>IF(I12="Havuvanerilevy / Kerto-Q-levy",D124,IF(I12="Lastulevy P6 / P7",D129,IF(I12="OSB / 4",D134,0)))</f>
        <v>400</v>
      </c>
      <c r="E136" s="444" t="s">
        <v>429</v>
      </c>
      <c r="F136" s="445"/>
      <c r="G136" s="642"/>
      <c r="M136" s="216"/>
      <c r="N136" s="216"/>
      <c r="O136" s="216"/>
      <c r="P136" s="216"/>
      <c r="Q136" s="216"/>
      <c r="R136" s="216"/>
    </row>
    <row r="137" spans="2:18" ht="12.75">
      <c r="B137" s="298" t="s">
        <v>101</v>
      </c>
      <c r="C137" s="296"/>
      <c r="D137" s="365">
        <f>Mitoitus!H35</f>
        <v>400</v>
      </c>
      <c r="E137" s="444" t="s">
        <v>102</v>
      </c>
      <c r="F137" s="446"/>
      <c r="G137" s="445"/>
      <c r="H137" s="216"/>
      <c r="J137" s="344"/>
      <c r="K137" s="344"/>
      <c r="L137" s="216"/>
      <c r="M137" s="216"/>
      <c r="N137" s="216"/>
      <c r="O137" s="216"/>
      <c r="P137" s="216"/>
      <c r="Q137" s="216"/>
      <c r="R137" s="216"/>
    </row>
    <row r="138" spans="2:18" ht="12.75">
      <c r="B138" s="266" t="s">
        <v>70</v>
      </c>
      <c r="C138" s="236"/>
      <c r="D138" s="253">
        <f>MIN(D136:D137)</f>
        <v>400</v>
      </c>
      <c r="E138" s="265" t="s">
        <v>104</v>
      </c>
      <c r="F138" s="216"/>
      <c r="G138" s="216"/>
      <c r="H138" s="216"/>
      <c r="J138" s="344"/>
      <c r="K138" s="344"/>
      <c r="L138" s="216"/>
      <c r="M138" s="216"/>
      <c r="N138" s="216"/>
      <c r="O138" s="216"/>
      <c r="P138" s="216"/>
      <c r="Q138" s="216"/>
      <c r="R138" s="216"/>
    </row>
    <row r="139" spans="7:18" ht="12.75">
      <c r="G139" s="216"/>
      <c r="H139" s="216"/>
      <c r="I139" s="216"/>
      <c r="J139" s="216"/>
      <c r="K139" s="216"/>
      <c r="L139" s="216"/>
      <c r="M139" s="216"/>
      <c r="N139" s="216"/>
      <c r="O139" s="216"/>
      <c r="P139" s="216"/>
      <c r="Q139" s="216"/>
      <c r="R139" s="216"/>
    </row>
    <row r="140" spans="2:18" ht="12.75">
      <c r="B140" s="295" t="s">
        <v>123</v>
      </c>
      <c r="C140" s="296"/>
      <c r="D140" s="297"/>
      <c r="E140" s="216"/>
      <c r="F140" s="223"/>
      <c r="G140" s="223"/>
      <c r="H140" s="223"/>
      <c r="I140" s="223"/>
      <c r="J140" s="344"/>
      <c r="K140" s="344"/>
      <c r="L140" s="344"/>
      <c r="M140" s="344"/>
      <c r="N140" s="344"/>
      <c r="O140" s="344"/>
      <c r="P140" s="344"/>
      <c r="Q140" s="344"/>
      <c r="R140" s="344"/>
    </row>
    <row r="141" spans="2:18" ht="12.75">
      <c r="B141" s="248" t="s">
        <v>60</v>
      </c>
      <c r="C141" s="216"/>
      <c r="D141" s="241">
        <f>D138*M12</f>
        <v>7200</v>
      </c>
      <c r="E141" s="223" t="s">
        <v>50</v>
      </c>
      <c r="F141" s="223"/>
      <c r="G141" s="223"/>
      <c r="H141" s="223"/>
      <c r="I141" s="223"/>
      <c r="J141" s="216"/>
      <c r="K141" s="216"/>
      <c r="L141" s="216"/>
      <c r="M141" s="216"/>
      <c r="N141" s="216"/>
      <c r="O141" s="216"/>
      <c r="P141" s="216"/>
      <c r="Q141" s="216"/>
      <c r="R141" s="216"/>
    </row>
    <row r="142" spans="2:18" ht="12.75">
      <c r="B142" s="267" t="s">
        <v>177</v>
      </c>
      <c r="C142" s="236"/>
      <c r="D142" s="224">
        <f>D138*M12^3/12</f>
        <v>194400</v>
      </c>
      <c r="E142" s="223" t="s">
        <v>50</v>
      </c>
      <c r="F142" s="223"/>
      <c r="G142" s="223"/>
      <c r="H142" s="265"/>
      <c r="I142" s="265"/>
      <c r="J142" s="216"/>
      <c r="K142" s="216"/>
      <c r="L142" s="216"/>
      <c r="M142" s="216"/>
      <c r="N142" s="216"/>
      <c r="O142" s="216"/>
      <c r="P142" s="216"/>
      <c r="Q142" s="216"/>
      <c r="R142" s="216"/>
    </row>
    <row r="143" spans="2:18" ht="12.75">
      <c r="B143" s="223"/>
      <c r="C143" s="223"/>
      <c r="D143" s="268"/>
      <c r="E143" s="223"/>
      <c r="F143" s="223"/>
      <c r="G143" s="223"/>
      <c r="H143" s="223"/>
      <c r="I143" s="223"/>
      <c r="J143" s="216"/>
      <c r="K143" s="216"/>
      <c r="L143" s="216"/>
      <c r="M143" s="216"/>
      <c r="N143" s="216"/>
      <c r="O143" s="216"/>
      <c r="P143" s="216"/>
      <c r="Q143" s="216"/>
      <c r="R143" s="216"/>
    </row>
    <row r="144" spans="2:18" ht="12.75">
      <c r="B144" s="295" t="s">
        <v>123</v>
      </c>
      <c r="C144" s="307"/>
      <c r="D144" s="308"/>
      <c r="E144" s="250"/>
      <c r="F144" s="223"/>
      <c r="G144" s="223"/>
      <c r="H144" s="223"/>
      <c r="I144" s="223"/>
      <c r="J144" s="216"/>
      <c r="K144" s="216"/>
      <c r="L144" s="216"/>
      <c r="M144" s="216"/>
      <c r="N144" s="216"/>
      <c r="O144" s="216"/>
      <c r="P144" s="216"/>
      <c r="Q144" s="216"/>
      <c r="R144" s="216"/>
    </row>
    <row r="145" spans="2:18" ht="12.75">
      <c r="B145" s="269" t="s">
        <v>106</v>
      </c>
      <c r="C145" s="244"/>
      <c r="D145" s="241">
        <f>AC12</f>
        <v>460</v>
      </c>
      <c r="E145" s="216" t="s">
        <v>50</v>
      </c>
      <c r="F145" s="223"/>
      <c r="G145" s="223"/>
      <c r="H145" s="223"/>
      <c r="I145" s="223"/>
      <c r="J145" s="216"/>
      <c r="K145" s="216"/>
      <c r="L145" s="216"/>
      <c r="M145" s="216"/>
      <c r="N145" s="216"/>
      <c r="O145" s="216"/>
      <c r="P145" s="216"/>
      <c r="Q145" s="216"/>
      <c r="R145" s="216"/>
    </row>
    <row r="146" spans="2:18" ht="12.75">
      <c r="B146" s="270" t="s">
        <v>106</v>
      </c>
      <c r="C146" s="216"/>
      <c r="D146" s="221">
        <f>Palkkikirjasto!I12</f>
        <v>510</v>
      </c>
      <c r="E146" s="216" t="s">
        <v>51</v>
      </c>
      <c r="F146" s="223"/>
      <c r="G146" s="223"/>
      <c r="H146" s="223"/>
      <c r="I146" s="223"/>
      <c r="J146" s="216"/>
      <c r="K146" s="216"/>
      <c r="L146" s="216"/>
      <c r="M146" s="216"/>
      <c r="N146" s="216"/>
      <c r="O146" s="216"/>
      <c r="P146" s="216"/>
      <c r="Q146" s="216"/>
      <c r="R146" s="216"/>
    </row>
    <row r="147" spans="2:18" ht="12.75">
      <c r="B147" s="222" t="s">
        <v>107</v>
      </c>
      <c r="C147" s="216"/>
      <c r="D147" s="317">
        <f>SQRT(D145*D146)</f>
        <v>484.3552415324934</v>
      </c>
      <c r="E147" s="216" t="s">
        <v>108</v>
      </c>
      <c r="F147" s="223"/>
      <c r="G147" s="223"/>
      <c r="H147" s="223"/>
      <c r="I147" s="223"/>
      <c r="J147" s="216"/>
      <c r="K147" s="216"/>
      <c r="L147" s="216"/>
      <c r="M147" s="216"/>
      <c r="N147" s="216"/>
      <c r="O147" s="216"/>
      <c r="P147" s="216"/>
      <c r="Q147" s="216"/>
      <c r="R147" s="216"/>
    </row>
    <row r="148" spans="2:18" ht="12.75">
      <c r="B148" s="222" t="s">
        <v>53</v>
      </c>
      <c r="C148" s="216"/>
      <c r="D148" s="317">
        <f>D147^1.5*O105/23</f>
        <v>1158.665774063773</v>
      </c>
      <c r="E148" s="216" t="s">
        <v>54</v>
      </c>
      <c r="F148" s="223"/>
      <c r="G148" s="223"/>
      <c r="H148" s="223"/>
      <c r="I148" s="223"/>
      <c r="J148" s="216"/>
      <c r="K148" s="216"/>
      <c r="L148" s="216"/>
      <c r="M148" s="216"/>
      <c r="N148" s="216"/>
      <c r="O148" s="216"/>
      <c r="P148" s="216"/>
      <c r="Q148" s="216"/>
      <c r="R148" s="216"/>
    </row>
    <row r="149" spans="2:28" ht="12.75">
      <c r="B149" s="222" t="s">
        <v>53</v>
      </c>
      <c r="C149" s="216"/>
      <c r="D149" s="317">
        <f>D147^1.5*O105^0.8/30</f>
        <v>739.5656949860689</v>
      </c>
      <c r="E149" s="216" t="s">
        <v>55</v>
      </c>
      <c r="F149" s="223"/>
      <c r="G149" s="223"/>
      <c r="H149" s="223"/>
      <c r="I149" s="223"/>
      <c r="J149" s="216"/>
      <c r="K149" s="216"/>
      <c r="L149" s="216"/>
      <c r="M149" s="216"/>
      <c r="N149" s="216"/>
      <c r="O149" s="216"/>
      <c r="P149" s="216"/>
      <c r="Q149" s="216"/>
      <c r="R149" s="216"/>
      <c r="S149" s="216"/>
      <c r="T149" s="216"/>
      <c r="X149" s="223"/>
      <c r="Y149" s="223"/>
      <c r="Z149" s="223"/>
      <c r="AA149" s="223"/>
      <c r="AB149" s="223"/>
    </row>
    <row r="150" spans="2:28" ht="12.75">
      <c r="B150" s="219" t="s">
        <v>109</v>
      </c>
      <c r="C150" s="213"/>
      <c r="D150" s="326">
        <f>IF(J105="Kampanaula",D149,D148)</f>
        <v>739.5656949860689</v>
      </c>
      <c r="E150" s="265" t="s">
        <v>104</v>
      </c>
      <c r="F150" s="223"/>
      <c r="G150" s="223"/>
      <c r="H150" s="223"/>
      <c r="I150" s="223"/>
      <c r="J150" s="216"/>
      <c r="K150" s="216"/>
      <c r="L150" s="216"/>
      <c r="M150" s="216"/>
      <c r="N150" s="216"/>
      <c r="O150" s="216"/>
      <c r="P150" s="216"/>
      <c r="Q150" s="216"/>
      <c r="R150" s="216"/>
      <c r="S150" s="216"/>
      <c r="T150" s="216"/>
      <c r="X150" s="223"/>
      <c r="Y150" s="223"/>
      <c r="Z150" s="223"/>
      <c r="AA150" s="223"/>
      <c r="AB150" s="223"/>
    </row>
    <row r="151" spans="2:28" ht="12.75">
      <c r="B151" s="223"/>
      <c r="C151" s="223"/>
      <c r="D151" s="223"/>
      <c r="E151" s="238"/>
      <c r="F151" s="223"/>
      <c r="G151" s="223"/>
      <c r="H151" s="223"/>
      <c r="I151" s="223"/>
      <c r="J151" s="216"/>
      <c r="K151" s="216"/>
      <c r="L151" s="216"/>
      <c r="M151" s="216"/>
      <c r="N151" s="216"/>
      <c r="O151" s="216"/>
      <c r="P151" s="216"/>
      <c r="Q151" s="216"/>
      <c r="R151" s="216"/>
      <c r="S151" s="216"/>
      <c r="T151" s="216"/>
      <c r="X151" s="223"/>
      <c r="Y151" s="223"/>
      <c r="Z151" s="223"/>
      <c r="AA151" s="223"/>
      <c r="AB151" s="223"/>
    </row>
    <row r="152" spans="2:28" ht="12.75">
      <c r="B152" s="295" t="s">
        <v>123</v>
      </c>
      <c r="C152" s="307"/>
      <c r="D152" s="308"/>
      <c r="E152" s="258"/>
      <c r="F152" s="250"/>
      <c r="G152" s="223"/>
      <c r="H152" s="223"/>
      <c r="I152" s="223"/>
      <c r="Q152" s="216"/>
      <c r="R152" s="216"/>
      <c r="S152" s="216"/>
      <c r="T152" s="216"/>
      <c r="X152" s="223"/>
      <c r="Y152" s="223"/>
      <c r="Z152" s="223"/>
      <c r="AA152" s="223"/>
      <c r="AB152" s="223"/>
    </row>
    <row r="153" spans="2:28" ht="12.75">
      <c r="B153" s="271" t="s">
        <v>61</v>
      </c>
      <c r="C153" s="216"/>
      <c r="D153" s="241">
        <f>IF(B108=3,1,IF(B108=1,0,1/(1+((PI()^2*D96*D141*G112)/(D150*Mitoitus!H36^2)))))</f>
        <v>1</v>
      </c>
      <c r="E153" s="223" t="s">
        <v>430</v>
      </c>
      <c r="F153" s="223"/>
      <c r="G153" s="223"/>
      <c r="H153" s="223"/>
      <c r="I153" s="223"/>
      <c r="J153" s="216"/>
      <c r="K153" s="216"/>
      <c r="L153" s="216"/>
      <c r="M153" s="216"/>
      <c r="N153" s="216"/>
      <c r="O153" s="216"/>
      <c r="P153" s="216"/>
      <c r="Q153" s="216"/>
      <c r="R153" s="216"/>
      <c r="S153" s="216"/>
      <c r="T153" s="216"/>
      <c r="X153" s="223"/>
      <c r="Y153" s="223"/>
      <c r="Z153" s="223"/>
      <c r="AA153" s="223"/>
      <c r="AB153" s="223"/>
    </row>
    <row r="154" spans="2:28" ht="12.75">
      <c r="B154" s="267" t="s">
        <v>127</v>
      </c>
      <c r="C154" s="236"/>
      <c r="D154" s="224">
        <f>IF(B108=1,0,1)</f>
        <v>1</v>
      </c>
      <c r="E154" s="223" t="s">
        <v>431</v>
      </c>
      <c r="F154" s="223"/>
      <c r="G154" s="223"/>
      <c r="H154" s="223"/>
      <c r="I154" s="223"/>
      <c r="J154" s="216"/>
      <c r="K154" s="216"/>
      <c r="L154" s="216"/>
      <c r="M154" s="216"/>
      <c r="N154" s="216"/>
      <c r="O154" s="216"/>
      <c r="P154" s="216"/>
      <c r="Q154" s="216"/>
      <c r="R154" s="216"/>
      <c r="S154" s="216"/>
      <c r="T154" s="216"/>
      <c r="X154" s="223"/>
      <c r="Y154" s="223"/>
      <c r="Z154" s="223"/>
      <c r="AA154" s="223"/>
      <c r="AB154" s="223"/>
    </row>
    <row r="155" spans="2:28" ht="12.75">
      <c r="B155" s="223"/>
      <c r="C155" s="223"/>
      <c r="D155" s="223"/>
      <c r="E155" s="238"/>
      <c r="F155" s="223"/>
      <c r="G155" s="223"/>
      <c r="H155" s="223"/>
      <c r="I155" s="223"/>
      <c r="J155" s="216"/>
      <c r="K155" s="216"/>
      <c r="L155" s="216"/>
      <c r="M155" s="216"/>
      <c r="N155" s="216"/>
      <c r="O155" s="216"/>
      <c r="P155" s="216"/>
      <c r="Q155" s="216"/>
      <c r="R155" s="216"/>
      <c r="S155" s="216"/>
      <c r="T155" s="216"/>
      <c r="X155" s="223"/>
      <c r="Y155" s="223"/>
      <c r="Z155" s="223"/>
      <c r="AA155" s="223"/>
      <c r="AB155" s="223"/>
    </row>
    <row r="156" spans="2:28" ht="12.75">
      <c r="B156" s="298" t="s">
        <v>124</v>
      </c>
      <c r="C156" s="307"/>
      <c r="D156" s="308"/>
      <c r="E156" s="250"/>
      <c r="F156" s="250"/>
      <c r="G156" s="223"/>
      <c r="H156" s="223"/>
      <c r="I156" s="223"/>
      <c r="J156" s="216"/>
      <c r="K156" s="216"/>
      <c r="L156" s="216"/>
      <c r="M156" s="216"/>
      <c r="N156" s="216"/>
      <c r="O156" s="216"/>
      <c r="P156" s="216"/>
      <c r="Q156" s="216"/>
      <c r="R156" s="216"/>
      <c r="S156" s="216"/>
      <c r="T156" s="216"/>
      <c r="X156" s="223"/>
      <c r="Y156" s="223"/>
      <c r="Z156" s="223"/>
      <c r="AA156" s="223"/>
      <c r="AB156" s="223"/>
    </row>
    <row r="157" spans="2:28" ht="12.75">
      <c r="B157" s="222" t="s">
        <v>57</v>
      </c>
      <c r="C157" s="216"/>
      <c r="D157" s="322">
        <f>(D153*D96*D141*(D103+M12)/(2*(D153*D96*D141+D154*D95*D104)))</f>
        <v>20.076929952626404</v>
      </c>
      <c r="E157" s="272" t="s">
        <v>130</v>
      </c>
      <c r="F157" s="223"/>
      <c r="G157" s="223"/>
      <c r="H157" s="223"/>
      <c r="I157" s="223"/>
      <c r="J157" s="216"/>
      <c r="K157" s="216"/>
      <c r="L157" s="216"/>
      <c r="M157" s="216"/>
      <c r="N157" s="216"/>
      <c r="O157" s="216"/>
      <c r="P157" s="216"/>
      <c r="Q157" s="216"/>
      <c r="R157" s="216"/>
      <c r="S157" s="216"/>
      <c r="T157" s="216"/>
      <c r="X157" s="223"/>
      <c r="Y157" s="223"/>
      <c r="Z157" s="223"/>
      <c r="AA157" s="223"/>
      <c r="AB157" s="223"/>
    </row>
    <row r="158" spans="2:28" ht="12.75">
      <c r="B158" s="222" t="s">
        <v>58</v>
      </c>
      <c r="C158" s="216"/>
      <c r="D158" s="317">
        <f>(M12+D103)/2-D157</f>
        <v>138.92307004737359</v>
      </c>
      <c r="E158" s="272" t="s">
        <v>115</v>
      </c>
      <c r="F158" s="223"/>
      <c r="G158" s="216"/>
      <c r="H158" s="216"/>
      <c r="I158" s="223"/>
      <c r="J158" s="216"/>
      <c r="K158" s="216"/>
      <c r="L158" s="216"/>
      <c r="M158" s="216"/>
      <c r="N158" s="216"/>
      <c r="O158" s="216"/>
      <c r="P158" s="216"/>
      <c r="Q158" s="216"/>
      <c r="R158" s="216"/>
      <c r="S158" s="216"/>
      <c r="T158" s="216"/>
      <c r="X158" s="223"/>
      <c r="Y158" s="223"/>
      <c r="Z158" s="223"/>
      <c r="AA158" s="223"/>
      <c r="AB158" s="223"/>
    </row>
    <row r="159" spans="2:28" ht="12.75">
      <c r="B159" s="225" t="s">
        <v>110</v>
      </c>
      <c r="C159" s="236"/>
      <c r="D159" s="318">
        <f>D103/2</f>
        <v>150</v>
      </c>
      <c r="E159" s="223"/>
      <c r="F159" s="223"/>
      <c r="G159" s="223"/>
      <c r="H159" s="223"/>
      <c r="I159" s="223"/>
      <c r="J159" s="216"/>
      <c r="K159" s="216"/>
      <c r="L159" s="216"/>
      <c r="M159" s="216"/>
      <c r="N159" s="216"/>
      <c r="O159" s="216"/>
      <c r="P159" s="216"/>
      <c r="Q159" s="216"/>
      <c r="R159" s="216"/>
      <c r="S159" s="216"/>
      <c r="T159" s="216"/>
      <c r="X159" s="223"/>
      <c r="Y159" s="223"/>
      <c r="Z159" s="223"/>
      <c r="AA159" s="223"/>
      <c r="AB159" s="223"/>
    </row>
    <row r="160" spans="2:28" ht="12.75">
      <c r="B160" s="216"/>
      <c r="C160" s="216"/>
      <c r="D160" s="216"/>
      <c r="E160" s="273"/>
      <c r="F160" s="223"/>
      <c r="G160" s="223"/>
      <c r="H160" s="223"/>
      <c r="I160" s="223"/>
      <c r="J160" s="216"/>
      <c r="K160" s="216"/>
      <c r="L160" s="216"/>
      <c r="M160" s="216"/>
      <c r="N160" s="216"/>
      <c r="O160" s="216"/>
      <c r="P160" s="216"/>
      <c r="Q160" s="216"/>
      <c r="R160" s="216"/>
      <c r="S160" s="216"/>
      <c r="T160" s="216"/>
      <c r="X160" s="223"/>
      <c r="Y160" s="223"/>
      <c r="Z160" s="223"/>
      <c r="AA160" s="223"/>
      <c r="AB160" s="223"/>
    </row>
    <row r="161" spans="2:28" ht="12.75">
      <c r="B161" s="298" t="s">
        <v>125</v>
      </c>
      <c r="C161" s="307"/>
      <c r="D161" s="307"/>
      <c r="E161" s="311"/>
      <c r="F161" s="223"/>
      <c r="G161" s="223"/>
      <c r="H161" s="223"/>
      <c r="I161" s="223"/>
      <c r="J161" s="216"/>
      <c r="K161" s="216"/>
      <c r="L161" s="216"/>
      <c r="M161" s="216"/>
      <c r="N161" s="216"/>
      <c r="O161" s="216"/>
      <c r="P161" s="216"/>
      <c r="Q161" s="216"/>
      <c r="R161" s="216"/>
      <c r="S161" s="216"/>
      <c r="T161" s="216"/>
      <c r="X161" s="223"/>
      <c r="Y161" s="223"/>
      <c r="Z161" s="223"/>
      <c r="AA161" s="223"/>
      <c r="AB161" s="223"/>
    </row>
    <row r="162" spans="2:28" ht="12.75">
      <c r="B162" s="235" t="s">
        <v>114</v>
      </c>
      <c r="C162" s="236"/>
      <c r="D162" s="327">
        <f>IF(C108="Ei liittorakennetta",D95*D105/Mitoitus!H35,0)</f>
        <v>0</v>
      </c>
      <c r="E162" s="274" t="s">
        <v>40</v>
      </c>
      <c r="F162" s="275" t="s">
        <v>133</v>
      </c>
      <c r="G162" s="223"/>
      <c r="H162" s="223"/>
      <c r="I162" s="223"/>
      <c r="J162" s="216"/>
      <c r="K162" s="216"/>
      <c r="L162" s="216"/>
      <c r="M162" s="216"/>
      <c r="N162" s="216"/>
      <c r="O162" s="216"/>
      <c r="P162" s="216"/>
      <c r="Q162" s="216"/>
      <c r="R162" s="216"/>
      <c r="S162" s="216"/>
      <c r="T162" s="216"/>
      <c r="X162" s="223"/>
      <c r="Y162" s="223"/>
      <c r="Z162" s="223"/>
      <c r="AA162" s="223"/>
      <c r="AB162" s="223"/>
    </row>
    <row r="163" spans="2:28" ht="12.75">
      <c r="B163" s="257"/>
      <c r="C163" s="236"/>
      <c r="D163" s="257"/>
      <c r="E163" s="345"/>
      <c r="F163" s="223"/>
      <c r="G163" s="223"/>
      <c r="H163" s="223"/>
      <c r="I163" s="223"/>
      <c r="J163" s="216"/>
      <c r="K163" s="216"/>
      <c r="L163" s="216"/>
      <c r="M163" s="216"/>
      <c r="N163" s="216"/>
      <c r="O163" s="216"/>
      <c r="P163" s="216"/>
      <c r="Q163" s="216"/>
      <c r="R163" s="216"/>
      <c r="S163" s="216"/>
      <c r="T163" s="216"/>
      <c r="X163" s="223"/>
      <c r="Y163" s="216"/>
      <c r="Z163" s="216"/>
      <c r="AA163" s="216"/>
      <c r="AB163" s="216"/>
    </row>
    <row r="164" spans="2:28" ht="12.75">
      <c r="B164" s="295" t="s">
        <v>123</v>
      </c>
      <c r="C164" s="307"/>
      <c r="D164" s="307"/>
      <c r="E164" s="311"/>
      <c r="F164" s="223"/>
      <c r="G164" s="223"/>
      <c r="H164" s="223"/>
      <c r="I164" s="223"/>
      <c r="J164" s="216"/>
      <c r="K164" s="216"/>
      <c r="L164" s="216"/>
      <c r="M164" s="216"/>
      <c r="N164" s="216"/>
      <c r="O164" s="216"/>
      <c r="P164" s="216"/>
      <c r="Q164" s="216"/>
      <c r="R164" s="216"/>
      <c r="S164" s="216"/>
      <c r="T164" s="216"/>
      <c r="X164" s="223"/>
      <c r="Y164" s="216"/>
      <c r="Z164" s="216"/>
      <c r="AA164" s="216"/>
      <c r="AB164" s="216"/>
    </row>
    <row r="165" spans="2:28" ht="12.75">
      <c r="B165" s="278" t="s">
        <v>91</v>
      </c>
      <c r="C165" s="216"/>
      <c r="D165" s="262">
        <f>IF(C108="Ei liittorakennetta",0,(D98*D142+D153*D96*D141*D158^2)/Mitoitus!H35)</f>
        <v>1473925949.6526017</v>
      </c>
      <c r="E165" s="279" t="s">
        <v>40</v>
      </c>
      <c r="F165" s="271"/>
      <c r="G165" s="223"/>
      <c r="H165" s="280"/>
      <c r="I165" s="280"/>
      <c r="J165" s="216"/>
      <c r="K165" s="216"/>
      <c r="L165" s="216"/>
      <c r="M165" s="216"/>
      <c r="N165" s="216"/>
      <c r="O165" s="216"/>
      <c r="P165" s="216"/>
      <c r="Q165" s="216"/>
      <c r="R165" s="216"/>
      <c r="S165" s="216"/>
      <c r="T165" s="216"/>
      <c r="Z165" s="216"/>
      <c r="AA165" s="216"/>
      <c r="AB165" s="216"/>
    </row>
    <row r="166" spans="2:28" ht="12.75">
      <c r="B166" s="235" t="s">
        <v>92</v>
      </c>
      <c r="C166" s="236"/>
      <c r="D166" s="263">
        <f>IF(C108="Ei liittorakennetta",0,(D95*D105+D154*D95*D104*D157^2)/Mitoitus!H35)</f>
        <v>4171642422.9509196</v>
      </c>
      <c r="E166" s="274" t="s">
        <v>40</v>
      </c>
      <c r="F166" s="223"/>
      <c r="G166" s="223"/>
      <c r="H166" s="280"/>
      <c r="I166" s="280"/>
      <c r="J166" s="216"/>
      <c r="K166" s="216"/>
      <c r="L166" s="216"/>
      <c r="M166" s="216"/>
      <c r="N166" s="216"/>
      <c r="O166" s="216"/>
      <c r="P166" s="216"/>
      <c r="Q166" s="216"/>
      <c r="R166" s="216"/>
      <c r="S166" s="216"/>
      <c r="T166" s="216"/>
      <c r="Z166" s="216"/>
      <c r="AA166" s="216"/>
      <c r="AB166" s="216"/>
    </row>
    <row r="167" spans="2:28" ht="12.75">
      <c r="B167" s="235" t="s">
        <v>93</v>
      </c>
      <c r="C167" s="236"/>
      <c r="D167" s="263">
        <f>SUM(D165:D166)</f>
        <v>5645568372.603521</v>
      </c>
      <c r="E167" s="274" t="s">
        <v>40</v>
      </c>
      <c r="F167" s="275" t="s">
        <v>263</v>
      </c>
      <c r="G167" s="223"/>
      <c r="H167" s="223"/>
      <c r="I167" s="223"/>
      <c r="J167" s="216"/>
      <c r="K167" s="216"/>
      <c r="L167" s="216"/>
      <c r="M167" s="216"/>
      <c r="N167" s="216"/>
      <c r="O167" s="216"/>
      <c r="P167" s="216"/>
      <c r="Q167" s="216"/>
      <c r="R167" s="216"/>
      <c r="S167" s="216"/>
      <c r="T167" s="216"/>
      <c r="Z167" s="216"/>
      <c r="AA167" s="216"/>
      <c r="AB167" s="216"/>
    </row>
    <row r="168" spans="2:28" ht="12.75">
      <c r="B168" s="276"/>
      <c r="C168" s="213"/>
      <c r="D168" s="327"/>
      <c r="E168" s="277"/>
      <c r="F168" s="223"/>
      <c r="G168" s="223"/>
      <c r="H168" s="223"/>
      <c r="I168" s="223"/>
      <c r="J168" s="216"/>
      <c r="K168" s="216"/>
      <c r="L168" s="216"/>
      <c r="M168" s="216"/>
      <c r="N168" s="216"/>
      <c r="O168" s="216"/>
      <c r="P168" s="216"/>
      <c r="Q168" s="216"/>
      <c r="R168" s="216"/>
      <c r="S168" s="216"/>
      <c r="T168" s="216"/>
      <c r="Z168" s="216"/>
      <c r="AA168" s="216"/>
      <c r="AB168" s="216"/>
    </row>
    <row r="169" spans="2:28" ht="12.75">
      <c r="B169" s="298" t="s">
        <v>132</v>
      </c>
      <c r="C169" s="296"/>
      <c r="D169" s="328"/>
      <c r="E169" s="312"/>
      <c r="F169" s="223"/>
      <c r="G169" s="223"/>
      <c r="H169" s="223"/>
      <c r="I169" s="223"/>
      <c r="J169" s="216"/>
      <c r="K169" s="216"/>
      <c r="L169" s="216"/>
      <c r="M169" s="216"/>
      <c r="N169" s="216"/>
      <c r="O169" s="216"/>
      <c r="P169" s="216"/>
      <c r="Q169" s="216"/>
      <c r="R169" s="216"/>
      <c r="S169" s="216"/>
      <c r="T169" s="216"/>
      <c r="Z169" s="216"/>
      <c r="AA169" s="216"/>
      <c r="AB169" s="216"/>
    </row>
    <row r="170" spans="2:28" ht="12.75">
      <c r="B170" s="278" t="s">
        <v>93</v>
      </c>
      <c r="C170" s="216"/>
      <c r="D170" s="329">
        <f>IF(C108="Liittorakenne palkin kanssa (liimaliitos)",D167,0)</f>
        <v>5645568372.603521</v>
      </c>
      <c r="E170" s="279" t="s">
        <v>40</v>
      </c>
      <c r="F170" s="223"/>
      <c r="G170" s="223"/>
      <c r="H170" s="223"/>
      <c r="I170" s="223"/>
      <c r="J170" s="216"/>
      <c r="K170" s="216"/>
      <c r="L170" s="216"/>
      <c r="M170" s="216"/>
      <c r="N170" s="216"/>
      <c r="O170" s="216"/>
      <c r="P170" s="216"/>
      <c r="Q170" s="216"/>
      <c r="R170" s="216"/>
      <c r="S170" s="216"/>
      <c r="T170" s="216"/>
      <c r="Z170" s="216"/>
      <c r="AA170" s="216"/>
      <c r="AB170" s="216"/>
    </row>
    <row r="171" spans="2:28" ht="12.75">
      <c r="B171" s="235" t="s">
        <v>92</v>
      </c>
      <c r="C171" s="236"/>
      <c r="D171" s="263">
        <f>IF(C108="Liittorakenne palkin kanssa (liimaliitos)",D95*D105/Mitoitus!H35,0)</f>
        <v>3958875000</v>
      </c>
      <c r="E171" s="274" t="s">
        <v>40</v>
      </c>
      <c r="F171" s="281"/>
      <c r="G171" s="223"/>
      <c r="H171" s="280"/>
      <c r="I171" s="280"/>
      <c r="J171" s="216"/>
      <c r="K171" s="216"/>
      <c r="L171" s="216"/>
      <c r="M171" s="216"/>
      <c r="N171" s="216"/>
      <c r="O171" s="216"/>
      <c r="P171" s="216"/>
      <c r="Q171" s="216"/>
      <c r="R171" s="216"/>
      <c r="S171" s="216"/>
      <c r="T171" s="216"/>
      <c r="Z171" s="223"/>
      <c r="AA171" s="223"/>
      <c r="AB171" s="223"/>
    </row>
    <row r="172" spans="2:28" ht="12.75">
      <c r="B172" s="235" t="s">
        <v>93</v>
      </c>
      <c r="C172" s="236"/>
      <c r="D172" s="263">
        <f>0.5*(D170+D171)</f>
        <v>4802221686.301761</v>
      </c>
      <c r="E172" s="274" t="s">
        <v>40</v>
      </c>
      <c r="F172" s="275" t="s">
        <v>131</v>
      </c>
      <c r="G172" s="223"/>
      <c r="H172" s="280"/>
      <c r="I172" s="280"/>
      <c r="J172" s="216"/>
      <c r="K172" s="216"/>
      <c r="L172" s="216"/>
      <c r="M172" s="216"/>
      <c r="N172" s="216"/>
      <c r="O172" s="216"/>
      <c r="P172" s="216"/>
      <c r="Q172" s="216"/>
      <c r="R172" s="216"/>
      <c r="S172" s="216"/>
      <c r="T172" s="216"/>
      <c r="Z172" s="216"/>
      <c r="AA172" s="216"/>
      <c r="AB172" s="216"/>
    </row>
    <row r="173" spans="2:28" ht="12.75">
      <c r="B173" s="282"/>
      <c r="C173" s="244"/>
      <c r="D173" s="282"/>
      <c r="E173" s="283"/>
      <c r="F173" s="281"/>
      <c r="G173" s="223"/>
      <c r="H173" s="280"/>
      <c r="I173" s="280"/>
      <c r="J173" s="216"/>
      <c r="K173" s="216"/>
      <c r="L173" s="216"/>
      <c r="M173" s="216"/>
      <c r="N173" s="216"/>
      <c r="O173" s="216"/>
      <c r="P173" s="216"/>
      <c r="Q173" s="216"/>
      <c r="R173" s="216"/>
      <c r="S173" s="216"/>
      <c r="T173" s="216"/>
      <c r="Z173" s="216"/>
      <c r="AA173" s="216"/>
      <c r="AB173" s="216"/>
    </row>
    <row r="174" spans="2:28" ht="12.75">
      <c r="B174" s="295" t="s">
        <v>289</v>
      </c>
      <c r="C174" s="296"/>
      <c r="D174" s="296"/>
      <c r="E174" s="312"/>
      <c r="F174" s="281"/>
      <c r="G174" s="223"/>
      <c r="H174" s="534"/>
      <c r="I174" s="280"/>
      <c r="J174" s="216"/>
      <c r="K174" s="216"/>
      <c r="L174" s="216"/>
      <c r="M174" s="216"/>
      <c r="N174" s="216"/>
      <c r="O174" s="216"/>
      <c r="P174" s="216"/>
      <c r="Q174" s="216"/>
      <c r="R174" s="216"/>
      <c r="S174" s="216"/>
      <c r="T174" s="216"/>
      <c r="X174" s="223"/>
      <c r="Y174" s="216"/>
      <c r="Z174" s="216"/>
      <c r="AA174" s="216"/>
      <c r="AB174" s="216"/>
    </row>
    <row r="175" spans="2:28" ht="12.75">
      <c r="B175" s="535" t="s">
        <v>332</v>
      </c>
      <c r="C175" s="536"/>
      <c r="D175" s="537">
        <f>IF(C108="Ei liittorakennetta",D162,IF(C108="Liittorakenne palkin kanssa (puikkoliittimet)",D167,IF(C108="Liittorakenne palkin kanssa (liimaliitos)",IF(B115=1,D167,D172))))</f>
        <v>5645568372.603521</v>
      </c>
      <c r="E175" s="538" t="s">
        <v>333</v>
      </c>
      <c r="F175" s="352" t="s">
        <v>104</v>
      </c>
      <c r="G175" s="223"/>
      <c r="H175" s="534"/>
      <c r="I175" s="280"/>
      <c r="J175" s="216"/>
      <c r="K175" s="216"/>
      <c r="L175" s="216"/>
      <c r="M175" s="216"/>
      <c r="N175" s="216"/>
      <c r="O175" s="216"/>
      <c r="P175" s="216"/>
      <c r="Q175" s="216"/>
      <c r="R175" s="216"/>
      <c r="S175" s="216"/>
      <c r="T175" s="216"/>
      <c r="X175" s="223"/>
      <c r="Y175" s="216"/>
      <c r="Z175" s="216"/>
      <c r="AA175" s="216"/>
      <c r="AB175" s="216"/>
    </row>
    <row r="176" spans="2:28" ht="12.75">
      <c r="B176" s="286"/>
      <c r="C176" s="265"/>
      <c r="D176" s="287"/>
      <c r="E176" s="275"/>
      <c r="F176" s="265"/>
      <c r="G176" s="223"/>
      <c r="H176" s="280"/>
      <c r="I176" s="280"/>
      <c r="J176" s="216"/>
      <c r="K176" s="216"/>
      <c r="L176" s="216"/>
      <c r="M176" s="216"/>
      <c r="N176" s="216"/>
      <c r="O176" s="216"/>
      <c r="P176" s="216"/>
      <c r="Q176" s="216"/>
      <c r="R176" s="216"/>
      <c r="S176" s="216"/>
      <c r="T176" s="216"/>
      <c r="X176" s="223"/>
      <c r="Y176" s="216"/>
      <c r="Z176" s="216"/>
      <c r="AA176" s="216"/>
      <c r="AB176" s="216"/>
    </row>
    <row r="177" spans="2:28" ht="12.75">
      <c r="B177" s="343" t="s">
        <v>90</v>
      </c>
      <c r="C177" s="254"/>
      <c r="D177" s="340"/>
      <c r="E177" s="341"/>
      <c r="F177" s="254"/>
      <c r="G177" s="236"/>
      <c r="H177" s="342"/>
      <c r="I177" s="342"/>
      <c r="J177" s="236"/>
      <c r="K177" s="236"/>
      <c r="L177" s="236"/>
      <c r="M177" s="236"/>
      <c r="N177" s="236"/>
      <c r="O177" s="236"/>
      <c r="P177" s="236"/>
      <c r="Q177" s="236"/>
      <c r="R177" s="236"/>
      <c r="S177" s="236"/>
      <c r="T177" s="236"/>
      <c r="U177" s="368"/>
      <c r="V177" s="368"/>
      <c r="W177" s="368"/>
      <c r="X177" s="236"/>
      <c r="Y177" s="236"/>
      <c r="Z177" s="216"/>
      <c r="AA177" s="216"/>
      <c r="AB177" s="216"/>
    </row>
    <row r="178" spans="24:28" ht="12.75">
      <c r="X178" s="223"/>
      <c r="Y178" s="223"/>
      <c r="Z178" s="223"/>
      <c r="AA178" s="223"/>
      <c r="AB178" s="223"/>
    </row>
    <row r="179" spans="2:28" ht="12.75">
      <c r="B179" s="298" t="s">
        <v>4</v>
      </c>
      <c r="C179" s="307"/>
      <c r="D179" s="308"/>
      <c r="Z179" s="223"/>
      <c r="AA179" s="223"/>
      <c r="AB179" s="223"/>
    </row>
    <row r="180" spans="2:28" ht="12.75">
      <c r="B180" s="218">
        <v>1</v>
      </c>
      <c r="C180" s="259" t="str">
        <f>VLOOKUP(B180,B181:D184,2)</f>
        <v>Ei jäykisteitä</v>
      </c>
      <c r="D180" s="214"/>
      <c r="Z180" s="223"/>
      <c r="AA180" s="223"/>
      <c r="AB180" s="223"/>
    </row>
    <row r="181" spans="2:28" ht="12.75">
      <c r="B181" s="260">
        <v>1</v>
      </c>
      <c r="C181" s="242" t="s">
        <v>73</v>
      </c>
      <c r="D181" s="243"/>
      <c r="X181" s="223"/>
      <c r="Y181" s="223"/>
      <c r="Z181" s="223"/>
      <c r="AA181" s="223"/>
      <c r="AB181" s="223"/>
    </row>
    <row r="182" spans="2:28" ht="12.75">
      <c r="B182" s="260">
        <v>2</v>
      </c>
      <c r="C182" s="222" t="s">
        <v>74</v>
      </c>
      <c r="D182" s="256"/>
      <c r="X182" s="223"/>
      <c r="Y182" s="223"/>
      <c r="Z182" s="223"/>
      <c r="AA182" s="223"/>
      <c r="AB182" s="223"/>
    </row>
    <row r="183" spans="2:28" ht="12.75">
      <c r="B183" s="260">
        <v>3</v>
      </c>
      <c r="C183" s="222" t="s">
        <v>75</v>
      </c>
      <c r="D183" s="256"/>
      <c r="X183" s="223"/>
      <c r="Y183" s="223"/>
      <c r="Z183" s="223"/>
      <c r="AA183" s="223"/>
      <c r="AB183" s="223"/>
    </row>
    <row r="184" spans="2:28" ht="12.75">
      <c r="B184" s="261">
        <v>4</v>
      </c>
      <c r="C184" s="225" t="s">
        <v>76</v>
      </c>
      <c r="D184" s="226"/>
      <c r="X184" s="223"/>
      <c r="Y184" s="223"/>
      <c r="Z184" s="223"/>
      <c r="AA184" s="223"/>
      <c r="AB184" s="223"/>
    </row>
    <row r="185" spans="2:28" ht="12.75">
      <c r="B185" s="231"/>
      <c r="C185" s="216"/>
      <c r="D185" s="216"/>
      <c r="X185" s="223"/>
      <c r="Y185" s="223"/>
      <c r="Z185" s="223"/>
      <c r="AA185" s="223"/>
      <c r="AB185" s="223"/>
    </row>
    <row r="186" spans="2:28" ht="12.75">
      <c r="B186" s="298" t="s">
        <v>270</v>
      </c>
      <c r="C186" s="307"/>
      <c r="D186" s="311"/>
      <c r="E186" s="250"/>
      <c r="F186" s="216"/>
      <c r="G186" s="216"/>
      <c r="X186" s="223"/>
      <c r="Y186" s="223"/>
      <c r="Z186" s="223"/>
      <c r="AA186" s="223"/>
      <c r="AB186" s="223"/>
    </row>
    <row r="187" spans="2:28" ht="12.75">
      <c r="B187" s="245" t="s">
        <v>456</v>
      </c>
      <c r="C187" s="213"/>
      <c r="D187" s="227">
        <f>IF(J5=1,Mitoitus!K37,4000)</f>
        <v>2500</v>
      </c>
      <c r="E187" s="223" t="s">
        <v>432</v>
      </c>
      <c r="F187" s="250"/>
      <c r="G187" s="216"/>
      <c r="O187" s="459"/>
      <c r="X187" s="223"/>
      <c r="Y187" s="223"/>
      <c r="Z187" s="223"/>
      <c r="AA187" s="223"/>
      <c r="AB187" s="223"/>
    </row>
    <row r="188" spans="2:28" ht="12.75">
      <c r="B188" s="244"/>
      <c r="C188" s="244"/>
      <c r="D188" s="461"/>
      <c r="E188" s="223" t="s">
        <v>424</v>
      </c>
      <c r="F188" s="250"/>
      <c r="G188" s="216"/>
      <c r="O188" s="459"/>
      <c r="X188" s="223"/>
      <c r="Y188" s="223"/>
      <c r="Z188" s="223"/>
      <c r="AA188" s="223"/>
      <c r="AB188" s="223"/>
    </row>
    <row r="189" spans="2:28" ht="12.75">
      <c r="B189" s="472" t="s">
        <v>268</v>
      </c>
      <c r="C189" s="236"/>
      <c r="D189" s="257"/>
      <c r="E189" s="368"/>
      <c r="F189" s="368"/>
      <c r="G189" s="368"/>
      <c r="H189" s="368"/>
      <c r="I189" s="368"/>
      <c r="J189" s="368"/>
      <c r="K189" s="368"/>
      <c r="L189" s="368"/>
      <c r="N189" s="344"/>
      <c r="O189" s="472" t="s">
        <v>269</v>
      </c>
      <c r="P189" s="368"/>
      <c r="Q189" s="368"/>
      <c r="R189" s="368"/>
      <c r="S189" s="368"/>
      <c r="T189" s="368"/>
      <c r="U189" s="368"/>
      <c r="V189" s="368"/>
      <c r="W189" s="368"/>
      <c r="X189" s="236"/>
      <c r="Y189" s="236"/>
      <c r="Z189" s="223"/>
      <c r="AA189" s="223"/>
      <c r="AB189" s="223"/>
    </row>
    <row r="190" spans="2:28" ht="12.75">
      <c r="B190" s="250"/>
      <c r="C190" s="250"/>
      <c r="D190" s="258"/>
      <c r="E190" s="731"/>
      <c r="F190" s="731"/>
      <c r="G190" s="731"/>
      <c r="H190" s="731"/>
      <c r="I190" s="731"/>
      <c r="J190" s="731"/>
      <c r="K190" s="731"/>
      <c r="L190" s="344"/>
      <c r="N190" s="344"/>
      <c r="O190" s="730"/>
      <c r="P190" s="344"/>
      <c r="Q190" s="344"/>
      <c r="R190" s="344"/>
      <c r="S190" s="344"/>
      <c r="T190" s="344"/>
      <c r="U190" s="344"/>
      <c r="V190" s="344"/>
      <c r="W190" s="344"/>
      <c r="X190" s="216"/>
      <c r="Y190" s="216"/>
      <c r="Z190" s="223"/>
      <c r="AA190" s="223"/>
      <c r="AB190" s="223"/>
    </row>
    <row r="191" spans="2:28" ht="12.75">
      <c r="B191" s="298" t="s">
        <v>473</v>
      </c>
      <c r="C191" s="307"/>
      <c r="D191" s="733">
        <f>Palkkikirjasto!F12</f>
        <v>51</v>
      </c>
      <c r="E191" s="731"/>
      <c r="F191" s="731"/>
      <c r="G191" s="731"/>
      <c r="H191" s="731"/>
      <c r="I191" s="731"/>
      <c r="J191" s="731"/>
      <c r="K191" s="731"/>
      <c r="L191" s="344"/>
      <c r="N191" s="344"/>
      <c r="O191" s="730"/>
      <c r="P191" s="344"/>
      <c r="Q191" s="344"/>
      <c r="R191" s="344"/>
      <c r="S191" s="344"/>
      <c r="T191" s="344"/>
      <c r="U191" s="344"/>
      <c r="V191" s="344"/>
      <c r="W191" s="344"/>
      <c r="X191" s="216"/>
      <c r="Y191" s="216"/>
      <c r="Z191" s="223"/>
      <c r="AA191" s="223"/>
      <c r="AB191" s="223"/>
    </row>
    <row r="192" spans="2:28" ht="12.75">
      <c r="B192" s="732"/>
      <c r="C192" s="732"/>
      <c r="D192" s="732"/>
      <c r="E192" s="732"/>
      <c r="F192" s="732"/>
      <c r="G192" s="732"/>
      <c r="H192" s="732"/>
      <c r="I192" s="732"/>
      <c r="J192" s="732"/>
      <c r="K192" s="732"/>
      <c r="O192" s="286"/>
      <c r="P192" s="265"/>
      <c r="Q192" s="287"/>
      <c r="R192" s="275"/>
      <c r="S192" s="223"/>
      <c r="T192" s="223"/>
      <c r="U192" s="280"/>
      <c r="V192" s="280"/>
      <c r="W192" s="223"/>
      <c r="X192" s="223"/>
      <c r="Y192" s="223"/>
      <c r="Z192" s="223"/>
      <c r="AA192" s="223"/>
      <c r="AB192" s="223"/>
    </row>
    <row r="193" spans="2:27" ht="12.75">
      <c r="B193" s="298" t="s">
        <v>126</v>
      </c>
      <c r="C193" s="307"/>
      <c r="D193" s="311"/>
      <c r="E193" s="250"/>
      <c r="F193" s="216"/>
      <c r="G193" s="216"/>
      <c r="H193" s="216"/>
      <c r="K193" s="223"/>
      <c r="L193" s="223"/>
      <c r="M193" s="223"/>
      <c r="N193" s="223"/>
      <c r="O193" s="301" t="s">
        <v>126</v>
      </c>
      <c r="P193" s="309"/>
      <c r="Q193" s="310"/>
      <c r="S193" s="223"/>
      <c r="T193" s="223"/>
      <c r="U193" s="280"/>
      <c r="V193" s="280"/>
      <c r="W193" s="223"/>
      <c r="X193" s="223"/>
      <c r="Y193" s="223"/>
      <c r="Z193" s="223"/>
      <c r="AA193" s="223"/>
    </row>
    <row r="194" spans="2:27" ht="12.75">
      <c r="B194" s="222" t="s">
        <v>71</v>
      </c>
      <c r="C194" s="216"/>
      <c r="D194" s="221">
        <f>IF(Z12="y",20*M12,IF(Z12="x",25*M12,"Virhe!"))</f>
        <v>360</v>
      </c>
      <c r="E194" s="250" t="s">
        <v>439</v>
      </c>
      <c r="F194" s="250"/>
      <c r="G194" s="250"/>
      <c r="H194" s="250"/>
      <c r="I194" s="216"/>
      <c r="K194" s="223"/>
      <c r="L194" s="223"/>
      <c r="M194" s="223"/>
      <c r="N194" s="223"/>
      <c r="O194" s="462" t="s">
        <v>282</v>
      </c>
      <c r="P194" s="446"/>
      <c r="Q194" s="463"/>
      <c r="R194" s="272"/>
      <c r="S194" s="223"/>
      <c r="T194" s="223"/>
      <c r="U194" s="280"/>
      <c r="V194" s="280"/>
      <c r="W194" s="223"/>
      <c r="X194" s="223"/>
      <c r="Y194" s="223"/>
      <c r="Z194" s="223"/>
      <c r="AA194" s="223"/>
    </row>
    <row r="195" spans="2:27" ht="12.75">
      <c r="B195" s="222" t="s">
        <v>52</v>
      </c>
      <c r="C195" s="216"/>
      <c r="D195" s="221">
        <f>D194+D191</f>
        <v>411</v>
      </c>
      <c r="E195" s="250"/>
      <c r="F195" s="216"/>
      <c r="G195" s="216"/>
      <c r="H195" s="216"/>
      <c r="I195" s="216"/>
      <c r="J195" s="223"/>
      <c r="K195" s="223"/>
      <c r="L195" s="223"/>
      <c r="M195" s="223"/>
      <c r="N195" s="223"/>
      <c r="O195" s="248" t="s">
        <v>23</v>
      </c>
      <c r="P195" s="451"/>
      <c r="Q195" s="377">
        <v>98</v>
      </c>
      <c r="R195" s="272"/>
      <c r="S195" s="223"/>
      <c r="T195" s="223"/>
      <c r="U195" s="280"/>
      <c r="V195" s="280"/>
      <c r="W195" s="223"/>
      <c r="X195" s="223"/>
      <c r="Y195" s="223"/>
      <c r="Z195" s="223"/>
      <c r="AA195" s="223"/>
    </row>
    <row r="196" spans="2:27" ht="12.75">
      <c r="B196" s="222" t="s">
        <v>71</v>
      </c>
      <c r="C196" s="216"/>
      <c r="D196" s="221">
        <f>0.1*D187</f>
        <v>250</v>
      </c>
      <c r="E196" s="216" t="s">
        <v>121</v>
      </c>
      <c r="F196" s="216"/>
      <c r="G196" s="216"/>
      <c r="H196" s="216"/>
      <c r="I196" s="216"/>
      <c r="J196" s="216"/>
      <c r="K196" s="223"/>
      <c r="L196" s="223"/>
      <c r="M196" s="223"/>
      <c r="N196" s="223"/>
      <c r="O196" s="271" t="s">
        <v>24</v>
      </c>
      <c r="P196" s="452"/>
      <c r="Q196" s="299">
        <v>20</v>
      </c>
      <c r="R196" s="272"/>
      <c r="S196" s="223"/>
      <c r="T196" s="223"/>
      <c r="U196" s="280"/>
      <c r="V196" s="280"/>
      <c r="W196" s="223"/>
      <c r="X196" s="223"/>
      <c r="Y196" s="223"/>
      <c r="Z196" s="223"/>
      <c r="AA196" s="223"/>
    </row>
    <row r="197" spans="2:28" ht="12.75">
      <c r="B197" s="222" t="s">
        <v>52</v>
      </c>
      <c r="C197" s="216"/>
      <c r="D197" s="221">
        <f>D196+D191</f>
        <v>301</v>
      </c>
      <c r="E197" s="216"/>
      <c r="F197" s="216"/>
      <c r="G197" s="216"/>
      <c r="H197" s="216"/>
      <c r="I197" s="216"/>
      <c r="J197" s="216"/>
      <c r="K197" s="223"/>
      <c r="L197" s="223"/>
      <c r="M197" s="223"/>
      <c r="N197" s="216"/>
      <c r="O197" s="270" t="s">
        <v>106</v>
      </c>
      <c r="P197" s="464"/>
      <c r="Q197" s="299">
        <v>380</v>
      </c>
      <c r="R197" s="252"/>
      <c r="S197" s="223"/>
      <c r="T197" s="223"/>
      <c r="U197" s="280"/>
      <c r="V197" s="280"/>
      <c r="W197" s="223"/>
      <c r="X197" s="223"/>
      <c r="Y197" s="223"/>
      <c r="Z197" s="223"/>
      <c r="AA197" s="216"/>
      <c r="AB197" s="344"/>
    </row>
    <row r="198" spans="2:28" ht="12.75">
      <c r="B198" s="448" t="s">
        <v>56</v>
      </c>
      <c r="C198" s="449"/>
      <c r="D198" s="450">
        <f>MIN(D195,D197)</f>
        <v>301</v>
      </c>
      <c r="E198" s="446" t="s">
        <v>257</v>
      </c>
      <c r="F198" s="446"/>
      <c r="G198" s="446"/>
      <c r="H198" s="216"/>
      <c r="I198" s="216"/>
      <c r="J198" s="223"/>
      <c r="K198" s="223"/>
      <c r="L198" s="223"/>
      <c r="M198" s="223"/>
      <c r="N198" s="216"/>
      <c r="O198" s="271" t="s">
        <v>136</v>
      </c>
      <c r="P198" s="464"/>
      <c r="Q198" s="299">
        <v>9000</v>
      </c>
      <c r="R198" s="252"/>
      <c r="S198" s="223"/>
      <c r="T198" s="223"/>
      <c r="U198" s="280"/>
      <c r="V198" s="280"/>
      <c r="W198" s="223"/>
      <c r="X198" s="223"/>
      <c r="Y198" s="223"/>
      <c r="Z198" s="223"/>
      <c r="AA198" s="216"/>
      <c r="AB198" s="460"/>
    </row>
    <row r="199" spans="2:28" ht="12.75">
      <c r="B199" s="248" t="s">
        <v>71</v>
      </c>
      <c r="C199" s="451"/>
      <c r="D199" s="377">
        <f>30*M12</f>
        <v>540</v>
      </c>
      <c r="E199" s="250" t="s">
        <v>259</v>
      </c>
      <c r="F199" s="250"/>
      <c r="G199" s="250"/>
      <c r="H199" s="216"/>
      <c r="J199" s="344"/>
      <c r="K199" s="223"/>
      <c r="L199" s="223"/>
      <c r="M199" s="223"/>
      <c r="N199" s="216"/>
      <c r="O199" s="271" t="s">
        <v>63</v>
      </c>
      <c r="P199" s="464"/>
      <c r="Q199" s="315">
        <f>Q195*Q196</f>
        <v>1960</v>
      </c>
      <c r="R199" s="252"/>
      <c r="S199" s="223"/>
      <c r="T199" s="223"/>
      <c r="X199" s="223"/>
      <c r="Y199" s="223"/>
      <c r="Z199" s="223"/>
      <c r="AA199" s="216"/>
      <c r="AB199" s="460"/>
    </row>
    <row r="200" spans="2:28" ht="12.75">
      <c r="B200" s="271" t="s">
        <v>56</v>
      </c>
      <c r="C200" s="452"/>
      <c r="D200" s="299">
        <f>D199+D191</f>
        <v>591</v>
      </c>
      <c r="E200" s="250"/>
      <c r="F200" s="250"/>
      <c r="G200" s="250"/>
      <c r="H200" s="216"/>
      <c r="J200" s="344"/>
      <c r="K200" s="223"/>
      <c r="L200" s="223"/>
      <c r="M200" s="223"/>
      <c r="N200" s="216"/>
      <c r="O200" s="267" t="s">
        <v>178</v>
      </c>
      <c r="P200" s="465"/>
      <c r="Q200" s="324">
        <f>Q195*Q196^3/12</f>
        <v>65333.333333333336</v>
      </c>
      <c r="R200" s="252"/>
      <c r="S200" s="223"/>
      <c r="T200" s="223"/>
      <c r="X200" s="223"/>
      <c r="Y200" s="223"/>
      <c r="Z200" s="223"/>
      <c r="AA200" s="216"/>
      <c r="AB200" s="460"/>
    </row>
    <row r="201" spans="2:28" ht="12.75">
      <c r="B201" s="271" t="s">
        <v>71</v>
      </c>
      <c r="C201" s="452"/>
      <c r="D201" s="299">
        <f>0.2*D187</f>
        <v>500</v>
      </c>
      <c r="E201" s="250" t="s">
        <v>122</v>
      </c>
      <c r="F201" s="250"/>
      <c r="G201" s="250"/>
      <c r="H201" s="216"/>
      <c r="J201" s="344"/>
      <c r="K201" s="223"/>
      <c r="L201" s="223"/>
      <c r="M201" s="223"/>
      <c r="N201" s="216"/>
      <c r="O201" s="286"/>
      <c r="P201" s="265"/>
      <c r="Q201" s="287"/>
      <c r="R201" s="275"/>
      <c r="S201" s="223"/>
      <c r="T201" s="223"/>
      <c r="X201" s="223"/>
      <c r="Y201" s="223"/>
      <c r="Z201" s="223"/>
      <c r="AA201" s="216"/>
      <c r="AB201" s="460"/>
    </row>
    <row r="202" spans="2:28" ht="12.75">
      <c r="B202" s="271" t="s">
        <v>56</v>
      </c>
      <c r="C202" s="452"/>
      <c r="D202" s="299">
        <f>D201+D191</f>
        <v>551</v>
      </c>
      <c r="E202" s="250"/>
      <c r="F202" s="250"/>
      <c r="G202" s="250"/>
      <c r="H202" s="216"/>
      <c r="J202" s="344"/>
      <c r="K202" s="223"/>
      <c r="L202" s="223"/>
      <c r="M202" s="223"/>
      <c r="N202" s="216"/>
      <c r="O202" s="905" t="s">
        <v>126</v>
      </c>
      <c r="P202" s="906"/>
      <c r="Q202" s="906"/>
      <c r="R202" s="906"/>
      <c r="S202" s="906"/>
      <c r="T202" s="907"/>
      <c r="X202" s="223"/>
      <c r="Y202" s="223"/>
      <c r="Z202" s="223"/>
      <c r="AA202" s="216"/>
      <c r="AB202" s="460"/>
    </row>
    <row r="203" spans="2:28" ht="12.75">
      <c r="B203" s="448" t="s">
        <v>56</v>
      </c>
      <c r="C203" s="453"/>
      <c r="D203" s="454">
        <f>MIN(D200,D202)</f>
        <v>551</v>
      </c>
      <c r="E203" s="446" t="s">
        <v>103</v>
      </c>
      <c r="F203" s="446"/>
      <c r="G203" s="446"/>
      <c r="H203" s="216"/>
      <c r="J203" s="344"/>
      <c r="K203" s="223"/>
      <c r="L203" s="223"/>
      <c r="M203" s="223"/>
      <c r="N203" s="216"/>
      <c r="O203" s="905" t="s">
        <v>284</v>
      </c>
      <c r="P203" s="906"/>
      <c r="Q203" s="908"/>
      <c r="R203" s="908"/>
      <c r="S203" s="908"/>
      <c r="T203" s="909"/>
      <c r="U203" s="223"/>
      <c r="V203" s="223"/>
      <c r="W203" s="223"/>
      <c r="X203" s="223"/>
      <c r="Y203" s="223"/>
      <c r="Z203" s="223"/>
      <c r="AA203" s="216"/>
      <c r="AB203" s="460"/>
    </row>
    <row r="204" spans="2:28" ht="12.75">
      <c r="B204" s="271" t="s">
        <v>71</v>
      </c>
      <c r="C204" s="250"/>
      <c r="D204" s="377">
        <f>25*M12</f>
        <v>450</v>
      </c>
      <c r="E204" s="250" t="s">
        <v>198</v>
      </c>
      <c r="F204" s="250"/>
      <c r="G204" s="250"/>
      <c r="H204" s="216"/>
      <c r="J204" s="344"/>
      <c r="K204" s="223"/>
      <c r="L204" s="223"/>
      <c r="M204" s="223"/>
      <c r="N204" s="216"/>
      <c r="O204" s="271" t="s">
        <v>283</v>
      </c>
      <c r="P204" s="250"/>
      <c r="Q204" s="470" t="str">
        <f>D226</f>
        <v>Kerto-S 51x300</v>
      </c>
      <c r="R204" s="264"/>
      <c r="S204" s="244"/>
      <c r="T204" s="243"/>
      <c r="U204" s="280"/>
      <c r="V204" s="280"/>
      <c r="W204" s="223"/>
      <c r="X204" s="223"/>
      <c r="Y204" s="223"/>
      <c r="Z204" s="223"/>
      <c r="AA204" s="216"/>
      <c r="AB204" s="460"/>
    </row>
    <row r="205" spans="2:28" ht="12.75">
      <c r="B205" s="271" t="s">
        <v>56</v>
      </c>
      <c r="C205" s="250"/>
      <c r="D205" s="299">
        <f>D204+D191</f>
        <v>501</v>
      </c>
      <c r="E205" s="250"/>
      <c r="F205" s="250"/>
      <c r="G205" s="250"/>
      <c r="H205" s="216"/>
      <c r="J205" s="344"/>
      <c r="K205" s="223"/>
      <c r="L205" s="223"/>
      <c r="M205" s="223"/>
      <c r="N205" s="216"/>
      <c r="O205" s="271" t="s">
        <v>274</v>
      </c>
      <c r="P205" s="250"/>
      <c r="Q205" s="251" t="s">
        <v>275</v>
      </c>
      <c r="R205" s="289"/>
      <c r="S205" s="236"/>
      <c r="T205" s="226"/>
      <c r="U205" s="280"/>
      <c r="V205" s="280"/>
      <c r="W205" s="223"/>
      <c r="X205" s="223"/>
      <c r="Y205" s="223"/>
      <c r="Z205" s="223"/>
      <c r="AA205" s="216"/>
      <c r="AB205" s="265"/>
    </row>
    <row r="206" spans="2:28" ht="12.75">
      <c r="B206" s="271" t="s">
        <v>71</v>
      </c>
      <c r="C206" s="250"/>
      <c r="D206" s="299">
        <f>0.15*D187</f>
        <v>375</v>
      </c>
      <c r="E206" s="250" t="s">
        <v>199</v>
      </c>
      <c r="F206" s="250"/>
      <c r="G206" s="250"/>
      <c r="H206" s="216"/>
      <c r="J206" s="344"/>
      <c r="K206" s="223"/>
      <c r="L206" s="223"/>
      <c r="M206" s="223"/>
      <c r="N206" s="216"/>
      <c r="O206" s="466" t="s">
        <v>16</v>
      </c>
      <c r="P206" s="250"/>
      <c r="Q206" s="299" t="s">
        <v>277</v>
      </c>
      <c r="R206" s="272" t="s">
        <v>434</v>
      </c>
      <c r="S206" s="223"/>
      <c r="T206" s="223"/>
      <c r="U206" s="288"/>
      <c r="V206" s="280"/>
      <c r="W206" s="223"/>
      <c r="X206" s="223"/>
      <c r="Y206" s="223"/>
      <c r="Z206" s="223"/>
      <c r="AA206" s="216"/>
      <c r="AB206" s="216"/>
    </row>
    <row r="207" spans="2:28" ht="12.75">
      <c r="B207" s="271" t="s">
        <v>56</v>
      </c>
      <c r="C207" s="250"/>
      <c r="D207" s="299">
        <f>D206+D191</f>
        <v>426</v>
      </c>
      <c r="E207" s="250"/>
      <c r="F207" s="250"/>
      <c r="G207" s="250"/>
      <c r="H207" s="216"/>
      <c r="J207" s="344"/>
      <c r="K207" s="223"/>
      <c r="L207" s="223"/>
      <c r="M207" s="223"/>
      <c r="N207" s="216"/>
      <c r="O207" s="271" t="s">
        <v>272</v>
      </c>
      <c r="P207" s="250"/>
      <c r="Q207" s="611">
        <v>100</v>
      </c>
      <c r="R207" s="250" t="s">
        <v>433</v>
      </c>
      <c r="S207" s="223"/>
      <c r="T207" s="223"/>
      <c r="U207" s="288"/>
      <c r="V207" s="280"/>
      <c r="W207" s="223"/>
      <c r="X207" s="223"/>
      <c r="Y207" s="223"/>
      <c r="Z207" s="223"/>
      <c r="AA207" s="216"/>
      <c r="AB207" s="216"/>
    </row>
    <row r="208" spans="2:28" ht="12.75">
      <c r="B208" s="448" t="s">
        <v>56</v>
      </c>
      <c r="C208" s="449"/>
      <c r="D208" s="450">
        <f>MIN(D205,D207)</f>
        <v>426</v>
      </c>
      <c r="E208" s="446" t="s">
        <v>258</v>
      </c>
      <c r="F208" s="446"/>
      <c r="G208" s="446"/>
      <c r="H208" s="216"/>
      <c r="J208" s="344"/>
      <c r="K208" s="223"/>
      <c r="L208" s="223"/>
      <c r="M208" s="223"/>
      <c r="N208" s="216"/>
      <c r="O208" s="270" t="s">
        <v>107</v>
      </c>
      <c r="P208" s="250"/>
      <c r="Q208" s="317">
        <f>SQRT(D146*Q197)</f>
        <v>440.22721406110276</v>
      </c>
      <c r="R208" s="272"/>
      <c r="S208" s="223"/>
      <c r="T208" s="288"/>
      <c r="U208" s="288"/>
      <c r="V208" s="288"/>
      <c r="W208" s="288"/>
      <c r="X208" s="288"/>
      <c r="Y208" s="288"/>
      <c r="Z208" s="223"/>
      <c r="AA208" s="216"/>
      <c r="AB208" s="216"/>
    </row>
    <row r="209" spans="2:28" ht="12.75">
      <c r="B209" s="246"/>
      <c r="C209" s="455"/>
      <c r="D209" s="456"/>
      <c r="E209" s="250"/>
      <c r="F209" s="250"/>
      <c r="G209" s="250"/>
      <c r="H209" s="216"/>
      <c r="J209" s="344"/>
      <c r="K209" s="223"/>
      <c r="L209" s="223"/>
      <c r="M209" s="223"/>
      <c r="N209" s="216"/>
      <c r="O209" s="225" t="s">
        <v>118</v>
      </c>
      <c r="P209" s="289"/>
      <c r="Q209" s="321">
        <f>Q208^1.5*2.5^0.8/30</f>
        <v>640.8347912017199</v>
      </c>
      <c r="R209" s="272"/>
      <c r="S209" s="215"/>
      <c r="T209" s="288"/>
      <c r="U209" s="288"/>
      <c r="V209" s="288"/>
      <c r="W209" s="288"/>
      <c r="X209" s="288"/>
      <c r="Y209" s="288"/>
      <c r="Z209" s="223"/>
      <c r="AA209" s="216"/>
      <c r="AB209" s="216"/>
    </row>
    <row r="210" spans="2:28" ht="12.75">
      <c r="B210" s="266" t="s">
        <v>70</v>
      </c>
      <c r="C210" s="236"/>
      <c r="D210" s="253">
        <f>IF(I12="Havuvanerilevy / Kerto-Q-levy",D198,IF(I12="Lastulevy P6 / P7",D203,IF(I12="OSB / 4",D208,0)))</f>
        <v>301</v>
      </c>
      <c r="E210" s="265" t="str">
        <f>I12</f>
        <v>Havuvanerilevy / Kerto-Q-levy</v>
      </c>
      <c r="F210" s="265" t="s">
        <v>104</v>
      </c>
      <c r="J210" s="344"/>
      <c r="K210" s="223"/>
      <c r="L210" s="223"/>
      <c r="M210" s="223"/>
      <c r="N210" s="216"/>
      <c r="O210" s="215"/>
      <c r="P210" s="215"/>
      <c r="Q210" s="215"/>
      <c r="R210" s="215"/>
      <c r="S210" s="215"/>
      <c r="T210" s="215"/>
      <c r="U210" s="288"/>
      <c r="V210" s="288"/>
      <c r="W210" s="288"/>
      <c r="X210" s="288"/>
      <c r="Y210" s="288"/>
      <c r="Z210" s="223"/>
      <c r="AA210" s="216"/>
      <c r="AB210" s="265"/>
    </row>
    <row r="211" spans="2:28" ht="12.75">
      <c r="B211" s="286"/>
      <c r="C211" s="265"/>
      <c r="D211" s="287"/>
      <c r="E211" s="275"/>
      <c r="F211" s="223"/>
      <c r="G211" s="223"/>
      <c r="H211" s="280"/>
      <c r="I211" s="280"/>
      <c r="J211" s="223"/>
      <c r="K211" s="223"/>
      <c r="L211" s="223"/>
      <c r="M211" s="223"/>
      <c r="N211" s="216"/>
      <c r="O211" s="905" t="s">
        <v>126</v>
      </c>
      <c r="P211" s="906"/>
      <c r="Q211" s="906"/>
      <c r="R211" s="906"/>
      <c r="S211" s="906"/>
      <c r="T211" s="907"/>
      <c r="U211" s="288"/>
      <c r="V211" s="288"/>
      <c r="W211" s="288"/>
      <c r="X211" s="288"/>
      <c r="Y211" s="288"/>
      <c r="Z211" s="223"/>
      <c r="AA211" s="216"/>
      <c r="AB211" s="265"/>
    </row>
    <row r="212" spans="2:28" ht="12.75">
      <c r="B212" s="301" t="s">
        <v>126</v>
      </c>
      <c r="C212" s="309"/>
      <c r="D212" s="310"/>
      <c r="E212" s="250"/>
      <c r="F212" s="223"/>
      <c r="G212" s="223"/>
      <c r="H212" s="280"/>
      <c r="I212" s="280"/>
      <c r="J212" s="223"/>
      <c r="K212" s="223"/>
      <c r="L212" s="223"/>
      <c r="M212" s="223"/>
      <c r="N212" s="216"/>
      <c r="O212" s="905" t="s">
        <v>273</v>
      </c>
      <c r="P212" s="906"/>
      <c r="Q212" s="908"/>
      <c r="R212" s="908"/>
      <c r="S212" s="908"/>
      <c r="T212" s="909"/>
      <c r="U212" s="288"/>
      <c r="V212" s="288"/>
      <c r="W212" s="288"/>
      <c r="X212" s="288"/>
      <c r="Y212" s="288"/>
      <c r="Z212" s="223"/>
      <c r="AA212" s="216"/>
      <c r="AB212" s="344"/>
    </row>
    <row r="213" spans="2:26" ht="12.75">
      <c r="B213" s="246" t="s">
        <v>60</v>
      </c>
      <c r="C213" s="259"/>
      <c r="D213" s="325">
        <f>D210*M12</f>
        <v>5418</v>
      </c>
      <c r="E213" s="252" t="s">
        <v>50</v>
      </c>
      <c r="F213" s="223"/>
      <c r="G213" s="223"/>
      <c r="H213" s="280"/>
      <c r="I213" s="280"/>
      <c r="J213" s="223"/>
      <c r="K213" s="223"/>
      <c r="L213" s="223"/>
      <c r="M213" s="223"/>
      <c r="N213" s="216"/>
      <c r="O213" s="271" t="s">
        <v>283</v>
      </c>
      <c r="P213" s="250"/>
      <c r="Q213" s="470" t="str">
        <f>D235</f>
        <v>Kerto-S 51x300</v>
      </c>
      <c r="R213" s="264"/>
      <c r="S213" s="244"/>
      <c r="T213" s="243"/>
      <c r="U213" s="288"/>
      <c r="V213" s="288"/>
      <c r="W213" s="288"/>
      <c r="X213" s="288"/>
      <c r="Y213" s="288"/>
      <c r="Z213" s="223"/>
    </row>
    <row r="214" spans="2:26" ht="12.75">
      <c r="B214" s="286"/>
      <c r="C214" s="265"/>
      <c r="D214" s="287"/>
      <c r="E214" s="275"/>
      <c r="F214" s="223"/>
      <c r="G214" s="223"/>
      <c r="H214" s="280"/>
      <c r="I214" s="280"/>
      <c r="J214" s="223"/>
      <c r="K214" s="223"/>
      <c r="L214" s="223"/>
      <c r="M214" s="223"/>
      <c r="N214" s="216"/>
      <c r="O214" s="271" t="s">
        <v>274</v>
      </c>
      <c r="P214" s="250"/>
      <c r="Q214" s="251" t="s">
        <v>275</v>
      </c>
      <c r="R214" s="289"/>
      <c r="S214" s="236"/>
      <c r="T214" s="226"/>
      <c r="U214" s="288"/>
      <c r="V214" s="288"/>
      <c r="W214" s="288"/>
      <c r="X214" s="288"/>
      <c r="Y214" s="288"/>
      <c r="Z214" s="223"/>
    </row>
    <row r="215" spans="2:26" ht="12.75">
      <c r="B215" s="301" t="s">
        <v>126</v>
      </c>
      <c r="C215" s="309"/>
      <c r="D215" s="310"/>
      <c r="F215" s="223"/>
      <c r="G215" s="223"/>
      <c r="H215" s="280"/>
      <c r="I215" s="280"/>
      <c r="J215" s="223"/>
      <c r="K215" s="223"/>
      <c r="L215" s="223"/>
      <c r="M215" s="223"/>
      <c r="N215" s="223"/>
      <c r="O215" s="466" t="s">
        <v>16</v>
      </c>
      <c r="P215" s="250"/>
      <c r="Q215" s="299" t="s">
        <v>277</v>
      </c>
      <c r="R215" s="272" t="s">
        <v>434</v>
      </c>
      <c r="S215" s="223"/>
      <c r="T215" s="223"/>
      <c r="U215" s="288"/>
      <c r="V215" s="288"/>
      <c r="W215" s="288"/>
      <c r="X215" s="288"/>
      <c r="Y215" s="288"/>
      <c r="Z215" s="223"/>
    </row>
    <row r="216" spans="2:26" ht="12.75">
      <c r="B216" s="462" t="s">
        <v>276</v>
      </c>
      <c r="C216" s="446"/>
      <c r="D216" s="463"/>
      <c r="E216" s="272"/>
      <c r="F216" s="223"/>
      <c r="G216" s="223"/>
      <c r="H216" s="280"/>
      <c r="I216" s="280"/>
      <c r="J216" s="223"/>
      <c r="K216" s="223"/>
      <c r="L216" s="223"/>
      <c r="M216" s="223"/>
      <c r="N216" s="223"/>
      <c r="O216" s="271" t="s">
        <v>272</v>
      </c>
      <c r="P216" s="250"/>
      <c r="Q216" s="611">
        <v>100</v>
      </c>
      <c r="R216" s="250" t="s">
        <v>433</v>
      </c>
      <c r="S216" s="223"/>
      <c r="T216" s="223"/>
      <c r="U216" s="288"/>
      <c r="V216" s="288"/>
      <c r="W216" s="288"/>
      <c r="X216" s="288"/>
      <c r="Y216" s="288"/>
      <c r="Z216" s="223"/>
    </row>
    <row r="217" spans="2:26" ht="12.75">
      <c r="B217" s="248" t="s">
        <v>23</v>
      </c>
      <c r="C217" s="451"/>
      <c r="D217" s="377">
        <v>98</v>
      </c>
      <c r="E217" s="272"/>
      <c r="F217" s="223"/>
      <c r="G217" s="223"/>
      <c r="H217" s="280"/>
      <c r="I217" s="280"/>
      <c r="J217" s="223"/>
      <c r="K217" s="223"/>
      <c r="L217" s="223"/>
      <c r="M217" s="223"/>
      <c r="N217" s="223"/>
      <c r="O217" s="270" t="s">
        <v>107</v>
      </c>
      <c r="P217" s="250"/>
      <c r="Q217" s="317">
        <f>SQRT(D146*Q197)</f>
        <v>440.22721406110276</v>
      </c>
      <c r="R217" s="272"/>
      <c r="S217" s="223"/>
      <c r="T217" s="288"/>
      <c r="U217" s="288"/>
      <c r="V217" s="288"/>
      <c r="W217" s="288"/>
      <c r="X217" s="288"/>
      <c r="Y217" s="288"/>
      <c r="Z217" s="223"/>
    </row>
    <row r="218" spans="2:26" ht="12.75">
      <c r="B218" s="271" t="s">
        <v>24</v>
      </c>
      <c r="C218" s="452"/>
      <c r="D218" s="299">
        <v>20</v>
      </c>
      <c r="E218" s="272"/>
      <c r="F218" s="223"/>
      <c r="G218" s="223"/>
      <c r="H218" s="280"/>
      <c r="I218" s="280"/>
      <c r="J218" s="223"/>
      <c r="K218" s="223"/>
      <c r="L218" s="223"/>
      <c r="M218" s="223"/>
      <c r="N218" s="223"/>
      <c r="O218" s="225" t="s">
        <v>118</v>
      </c>
      <c r="P218" s="289"/>
      <c r="Q218" s="321">
        <f>Q217^1.5*2.5^0.8/30</f>
        <v>640.8347912017199</v>
      </c>
      <c r="R218" s="272"/>
      <c r="S218" s="215"/>
      <c r="T218" s="288"/>
      <c r="U218" s="288"/>
      <c r="V218" s="288"/>
      <c r="W218" s="288"/>
      <c r="X218" s="288"/>
      <c r="Y218" s="288"/>
      <c r="Z218" s="223"/>
    </row>
    <row r="219" spans="2:26" ht="12.75">
      <c r="B219" s="270" t="s">
        <v>106</v>
      </c>
      <c r="C219" s="464"/>
      <c r="D219" s="299">
        <v>380</v>
      </c>
      <c r="E219" s="252"/>
      <c r="F219" s="223"/>
      <c r="G219" s="223"/>
      <c r="H219" s="280"/>
      <c r="I219" s="280"/>
      <c r="J219" s="223"/>
      <c r="K219" s="223"/>
      <c r="L219" s="223"/>
      <c r="M219" s="223"/>
      <c r="O219" s="215"/>
      <c r="P219" s="215"/>
      <c r="Q219" s="215"/>
      <c r="R219" s="215"/>
      <c r="S219" s="215"/>
      <c r="T219" s="215"/>
      <c r="U219" s="288"/>
      <c r="V219" s="288"/>
      <c r="W219" s="288"/>
      <c r="X219" s="288"/>
      <c r="Y219" s="288"/>
      <c r="Z219" s="223"/>
    </row>
    <row r="220" spans="2:26" ht="12.75">
      <c r="B220" s="271" t="s">
        <v>136</v>
      </c>
      <c r="C220" s="464"/>
      <c r="D220" s="299">
        <v>9000</v>
      </c>
      <c r="E220" s="252"/>
      <c r="F220" s="223"/>
      <c r="G220" s="223"/>
      <c r="H220" s="280"/>
      <c r="I220" s="280"/>
      <c r="J220" s="223"/>
      <c r="K220" s="223"/>
      <c r="L220" s="223"/>
      <c r="M220" s="223"/>
      <c r="O220" s="298" t="s">
        <v>126</v>
      </c>
      <c r="P220" s="307"/>
      <c r="Q220" s="311"/>
      <c r="R220" s="215"/>
      <c r="S220" s="215"/>
      <c r="T220" s="215"/>
      <c r="U220" s="288"/>
      <c r="V220" s="288"/>
      <c r="W220" s="288"/>
      <c r="X220" s="288"/>
      <c r="Y220" s="288"/>
      <c r="Z220" s="223"/>
    </row>
    <row r="221" spans="2:26" ht="12.75">
      <c r="B221" s="271" t="s">
        <v>63</v>
      </c>
      <c r="C221" s="464"/>
      <c r="D221" s="315">
        <f>D217*D218</f>
        <v>1960</v>
      </c>
      <c r="E221" s="252"/>
      <c r="F221" s="223"/>
      <c r="G221" s="223"/>
      <c r="K221" s="223"/>
      <c r="L221" s="223"/>
      <c r="M221" s="223"/>
      <c r="O221" s="248" t="s">
        <v>285</v>
      </c>
      <c r="P221" s="451"/>
      <c r="Q221" s="322">
        <f>1/(1+((PI()^2*Q198*Q199*Q207)/(Q209*D187^2)))</f>
        <v>0.1870268556084327</v>
      </c>
      <c r="R221" s="223" t="s">
        <v>436</v>
      </c>
      <c r="S221" s="272"/>
      <c r="T221" s="215"/>
      <c r="U221" s="216"/>
      <c r="V221" s="216"/>
      <c r="W221" s="288"/>
      <c r="X221" s="288"/>
      <c r="Y221" s="288"/>
      <c r="Z221" s="223"/>
    </row>
    <row r="222" spans="2:26" ht="12.75">
      <c r="B222" s="267" t="s">
        <v>178</v>
      </c>
      <c r="C222" s="465"/>
      <c r="D222" s="324">
        <f>D217*D218^3/12</f>
        <v>65333.333333333336</v>
      </c>
      <c r="E222" s="252"/>
      <c r="F222" s="223"/>
      <c r="G222" s="223"/>
      <c r="K222" s="223"/>
      <c r="L222" s="223"/>
      <c r="M222" s="223"/>
      <c r="O222" s="267" t="s">
        <v>286</v>
      </c>
      <c r="P222" s="467"/>
      <c r="Q222" s="321">
        <f>1/(1+((PI()^2*Q198*Q199*Q216)/(Q218*D187^2)))</f>
        <v>0.1870268556084327</v>
      </c>
      <c r="R222" s="272" t="s">
        <v>437</v>
      </c>
      <c r="S222" s="215"/>
      <c r="T222" s="215"/>
      <c r="U222" s="216"/>
      <c r="V222" s="216"/>
      <c r="W222" s="288"/>
      <c r="X222" s="288"/>
      <c r="Y222" s="288"/>
      <c r="Z222" s="223"/>
    </row>
    <row r="223" spans="2:26" ht="12.75">
      <c r="B223" s="286"/>
      <c r="C223" s="265"/>
      <c r="D223" s="287"/>
      <c r="E223" s="275"/>
      <c r="F223" s="223"/>
      <c r="G223" s="223"/>
      <c r="K223" s="223"/>
      <c r="L223" s="223"/>
      <c r="M223" s="223"/>
      <c r="O223" s="215"/>
      <c r="P223" s="215"/>
      <c r="Q223" s="215"/>
      <c r="R223" s="215"/>
      <c r="S223" s="272"/>
      <c r="T223" s="215"/>
      <c r="U223" s="216"/>
      <c r="V223" s="216"/>
      <c r="W223" s="288"/>
      <c r="X223" s="215"/>
      <c r="Y223" s="288"/>
      <c r="Z223" s="223"/>
    </row>
    <row r="224" spans="2:26" ht="12.75">
      <c r="B224" s="905" t="s">
        <v>126</v>
      </c>
      <c r="C224" s="911"/>
      <c r="D224" s="911"/>
      <c r="E224" s="911"/>
      <c r="F224" s="911"/>
      <c r="G224" s="912"/>
      <c r="K224" s="223"/>
      <c r="L224" s="223"/>
      <c r="M224" s="223"/>
      <c r="O224" s="298" t="s">
        <v>128</v>
      </c>
      <c r="P224" s="307"/>
      <c r="Q224" s="311"/>
      <c r="R224" s="215"/>
      <c r="S224" s="250"/>
      <c r="T224" s="215"/>
      <c r="U224" s="288"/>
      <c r="V224" s="288"/>
      <c r="W224" s="288"/>
      <c r="X224" s="215"/>
      <c r="Y224" s="288"/>
      <c r="Z224" s="223"/>
    </row>
    <row r="225" spans="2:26" ht="12.75">
      <c r="B225" s="905" t="s">
        <v>271</v>
      </c>
      <c r="C225" s="911"/>
      <c r="D225" s="889"/>
      <c r="E225" s="889"/>
      <c r="F225" s="889"/>
      <c r="G225" s="890"/>
      <c r="H225" s="223"/>
      <c r="I225" s="223"/>
      <c r="J225" s="223"/>
      <c r="K225" s="223"/>
      <c r="L225" s="223"/>
      <c r="M225" s="223"/>
      <c r="O225" s="271" t="s">
        <v>57</v>
      </c>
      <c r="P225" s="250"/>
      <c r="Q225" s="323">
        <f>((Q221*Q198*Q199*(Q196+D103))-(Q222*Q198*Q199*(D103+Q196)))/(2*(Q221*Q198*Q199+Q222*Q198*Q199))</f>
        <v>0</v>
      </c>
      <c r="R225" s="272" t="s">
        <v>134</v>
      </c>
      <c r="S225" s="250"/>
      <c r="T225" s="215"/>
      <c r="U225" s="288"/>
      <c r="V225" s="288"/>
      <c r="W225" s="288"/>
      <c r="X225" s="288"/>
      <c r="Y225" s="288"/>
      <c r="Z225" s="223"/>
    </row>
    <row r="226" spans="2:26" ht="12.75">
      <c r="B226" s="248" t="s">
        <v>283</v>
      </c>
      <c r="C226" s="451"/>
      <c r="D226" s="470" t="str">
        <f>Palkkikirjasto!E12</f>
        <v>Kerto-S 51x300</v>
      </c>
      <c r="E226" s="264"/>
      <c r="F226" s="374"/>
      <c r="G226" s="375"/>
      <c r="H226" s="280"/>
      <c r="I226" s="280"/>
      <c r="J226" s="223"/>
      <c r="K226" s="223"/>
      <c r="L226" s="223"/>
      <c r="M226" s="223"/>
      <c r="O226" s="271" t="s">
        <v>58</v>
      </c>
      <c r="P226" s="250"/>
      <c r="Q226" s="320">
        <f>(Q196+D103+Q196)/2-Q225-(Q196/2)</f>
        <v>160</v>
      </c>
      <c r="R226" s="272" t="s">
        <v>287</v>
      </c>
      <c r="S226" s="215"/>
      <c r="T226" s="215"/>
      <c r="U226" s="288"/>
      <c r="V226" s="288"/>
      <c r="W226" s="288"/>
      <c r="X226" s="288"/>
      <c r="Y226" s="288"/>
      <c r="Z226" s="223"/>
    </row>
    <row r="227" spans="2:26" ht="12.75">
      <c r="B227" s="466" t="s">
        <v>42</v>
      </c>
      <c r="C227" s="452"/>
      <c r="D227" s="271" t="str">
        <f>I12</f>
        <v>Havuvanerilevy / Kerto-Q-levy</v>
      </c>
      <c r="E227" s="250"/>
      <c r="F227" s="344"/>
      <c r="G227" s="556">
        <f>M12</f>
        <v>18</v>
      </c>
      <c r="H227" s="280"/>
      <c r="I227" s="280"/>
      <c r="J227" s="223"/>
      <c r="K227" s="223"/>
      <c r="L227" s="223"/>
      <c r="M227" s="223"/>
      <c r="O227" s="267" t="s">
        <v>72</v>
      </c>
      <c r="P227" s="289"/>
      <c r="Q227" s="321">
        <f>(Q196+D103+Q196)/2-(Q196/2)+Q225</f>
        <v>160</v>
      </c>
      <c r="R227" s="272" t="s">
        <v>116</v>
      </c>
      <c r="S227" s="215"/>
      <c r="T227" s="215"/>
      <c r="U227" s="288"/>
      <c r="V227" s="288"/>
      <c r="W227" s="288"/>
      <c r="X227" s="288"/>
      <c r="Y227" s="288"/>
      <c r="Z227" s="223"/>
    </row>
    <row r="228" spans="2:26" ht="12.75">
      <c r="B228" s="471" t="s">
        <v>3</v>
      </c>
      <c r="C228" s="467"/>
      <c r="D228" s="267">
        <f>L105</f>
      </c>
      <c r="E228" s="289"/>
      <c r="F228" s="236"/>
      <c r="G228" s="226"/>
      <c r="H228" s="288"/>
      <c r="I228" s="280"/>
      <c r="J228" s="223"/>
      <c r="K228" s="223"/>
      <c r="L228" s="223"/>
      <c r="M228" s="223"/>
      <c r="O228" s="215"/>
      <c r="P228" s="215"/>
      <c r="Q228" s="215"/>
      <c r="R228" s="215"/>
      <c r="S228" s="215"/>
      <c r="T228" s="215"/>
      <c r="U228" s="215"/>
      <c r="V228" s="215"/>
      <c r="W228" s="288"/>
      <c r="X228" s="288"/>
      <c r="Y228" s="288"/>
      <c r="Z228" s="223"/>
    </row>
    <row r="229" spans="2:26" ht="12.75">
      <c r="B229" s="271" t="s">
        <v>272</v>
      </c>
      <c r="C229" s="452"/>
      <c r="D229" s="610">
        <v>100</v>
      </c>
      <c r="E229" s="250" t="s">
        <v>433</v>
      </c>
      <c r="F229" s="216"/>
      <c r="G229" s="216"/>
      <c r="H229" s="288"/>
      <c r="I229" s="280"/>
      <c r="J229" s="223"/>
      <c r="K229" s="223"/>
      <c r="L229" s="223"/>
      <c r="M229" s="223"/>
      <c r="O229" s="301" t="s">
        <v>126</v>
      </c>
      <c r="P229" s="302"/>
      <c r="Q229" s="302"/>
      <c r="R229" s="313"/>
      <c r="S229" s="215"/>
      <c r="T229" s="215"/>
      <c r="U229" s="215"/>
      <c r="V229" s="215"/>
      <c r="W229" s="288"/>
      <c r="X229" s="288"/>
      <c r="Y229" s="288"/>
      <c r="Z229" s="223"/>
    </row>
    <row r="230" spans="2:26" ht="12.75">
      <c r="B230" s="270" t="s">
        <v>107</v>
      </c>
      <c r="C230" s="452"/>
      <c r="D230" s="320">
        <f>D147</f>
        <v>484.3552415324934</v>
      </c>
      <c r="E230" s="250"/>
      <c r="F230" s="216"/>
      <c r="G230" s="216"/>
      <c r="H230" s="288"/>
      <c r="I230" s="288"/>
      <c r="J230" s="288"/>
      <c r="K230" s="288"/>
      <c r="L230" s="288"/>
      <c r="M230" s="288"/>
      <c r="O230" s="246" t="s">
        <v>64</v>
      </c>
      <c r="P230" s="290"/>
      <c r="Q230" s="469">
        <f>Mitoitus!H36</f>
        <v>5000</v>
      </c>
      <c r="R230" s="214" t="s">
        <v>0</v>
      </c>
      <c r="S230" s="223" t="s">
        <v>111</v>
      </c>
      <c r="T230" s="215"/>
      <c r="U230" s="215"/>
      <c r="V230" s="215"/>
      <c r="W230" s="288"/>
      <c r="X230" s="288"/>
      <c r="Y230" s="288"/>
      <c r="Z230" s="288"/>
    </row>
    <row r="231" spans="2:26" ht="12.75">
      <c r="B231" s="225" t="s">
        <v>118</v>
      </c>
      <c r="C231" s="467"/>
      <c r="D231" s="321">
        <f>D150</f>
        <v>739.5656949860689</v>
      </c>
      <c r="E231" s="250"/>
      <c r="F231" s="247"/>
      <c r="G231" s="247"/>
      <c r="H231" s="288"/>
      <c r="I231" s="288"/>
      <c r="J231" s="288"/>
      <c r="K231" s="288"/>
      <c r="L231" s="288"/>
      <c r="M231" s="288"/>
      <c r="O231" s="278" t="s">
        <v>94</v>
      </c>
      <c r="P231" s="250"/>
      <c r="Q231" s="330">
        <f>(Q198*Q200+Q221*Q198*Q199*Q226^2)/Q230</f>
        <v>17009267.112615697</v>
      </c>
      <c r="R231" s="279" t="s">
        <v>40</v>
      </c>
      <c r="S231" s="223"/>
      <c r="T231" s="215"/>
      <c r="U231" s="288"/>
      <c r="V231" s="288"/>
      <c r="W231" s="288"/>
      <c r="X231" s="288"/>
      <c r="Y231" s="288"/>
      <c r="Z231" s="288"/>
    </row>
    <row r="232" spans="2:26" ht="12.75">
      <c r="B232" s="215"/>
      <c r="C232" s="215"/>
      <c r="D232" s="215"/>
      <c r="E232" s="215"/>
      <c r="F232" s="215"/>
      <c r="G232" s="215"/>
      <c r="H232" s="288"/>
      <c r="I232" s="288"/>
      <c r="J232" s="288"/>
      <c r="K232" s="288"/>
      <c r="L232" s="288"/>
      <c r="M232" s="288"/>
      <c r="O232" s="235" t="s">
        <v>94</v>
      </c>
      <c r="P232" s="289"/>
      <c r="Q232" s="324">
        <f>(Q198*Q200+Q222*Q198*Q199*Q227^2)/Q230</f>
        <v>17009267.112615697</v>
      </c>
      <c r="R232" s="274" t="s">
        <v>40</v>
      </c>
      <c r="S232" s="215"/>
      <c r="T232" s="288"/>
      <c r="U232" s="288"/>
      <c r="V232" s="288"/>
      <c r="W232" s="288"/>
      <c r="X232" s="288"/>
      <c r="Y232" s="288"/>
      <c r="Z232" s="288"/>
    </row>
    <row r="233" spans="2:26" ht="12.75">
      <c r="B233" s="905" t="s">
        <v>126</v>
      </c>
      <c r="C233" s="906"/>
      <c r="D233" s="906"/>
      <c r="E233" s="906"/>
      <c r="F233" s="906"/>
      <c r="G233" s="907"/>
      <c r="H233" s="288"/>
      <c r="I233" s="288"/>
      <c r="J233" s="288"/>
      <c r="K233" s="288"/>
      <c r="L233" s="288"/>
      <c r="M233" s="288"/>
      <c r="O233" s="284" t="s">
        <v>112</v>
      </c>
      <c r="P233" s="254"/>
      <c r="Q233" s="331">
        <f>IF(B180=1,0,(B180-1)*(Q231+Q232))</f>
        <v>0</v>
      </c>
      <c r="R233" s="291" t="s">
        <v>59</v>
      </c>
      <c r="S233" s="223" t="s">
        <v>135</v>
      </c>
      <c r="T233" s="272"/>
      <c r="U233" s="215"/>
      <c r="V233" s="215"/>
      <c r="W233" s="215"/>
      <c r="X233" s="215"/>
      <c r="Y233" s="288"/>
      <c r="Z233" s="288"/>
    </row>
    <row r="234" spans="2:26" ht="12.75">
      <c r="B234" s="905" t="s">
        <v>273</v>
      </c>
      <c r="C234" s="906"/>
      <c r="D234" s="908"/>
      <c r="E234" s="908"/>
      <c r="F234" s="908"/>
      <c r="G234" s="909"/>
      <c r="H234" s="288"/>
      <c r="I234" s="288"/>
      <c r="J234" s="288"/>
      <c r="K234" s="288"/>
      <c r="L234" s="288"/>
      <c r="M234" s="288"/>
      <c r="Z234" s="288"/>
    </row>
    <row r="235" spans="2:26" ht="12.75">
      <c r="B235" s="271" t="s">
        <v>283</v>
      </c>
      <c r="C235" s="250"/>
      <c r="D235" s="470" t="str">
        <f>Palkkikirjasto!E12</f>
        <v>Kerto-S 51x300</v>
      </c>
      <c r="E235" s="264"/>
      <c r="F235" s="244"/>
      <c r="G235" s="243"/>
      <c r="H235" s="288"/>
      <c r="I235" s="288"/>
      <c r="J235" s="288"/>
      <c r="K235" s="288"/>
      <c r="L235" s="288"/>
      <c r="M235" s="288"/>
      <c r="Z235" s="288"/>
    </row>
    <row r="236" spans="2:26" ht="12.75">
      <c r="B236" s="271" t="s">
        <v>274</v>
      </c>
      <c r="C236" s="250"/>
      <c r="D236" s="251" t="s">
        <v>275</v>
      </c>
      <c r="E236" s="289"/>
      <c r="F236" s="236"/>
      <c r="G236" s="226"/>
      <c r="H236" s="288"/>
      <c r="I236" s="288"/>
      <c r="J236" s="288"/>
      <c r="K236" s="288"/>
      <c r="L236" s="288"/>
      <c r="M236" s="288"/>
      <c r="Z236" s="288"/>
    </row>
    <row r="237" spans="2:26" ht="12.75">
      <c r="B237" s="466" t="s">
        <v>16</v>
      </c>
      <c r="C237" s="250"/>
      <c r="D237" s="299" t="s">
        <v>277</v>
      </c>
      <c r="E237" s="272" t="s">
        <v>434</v>
      </c>
      <c r="F237" s="223"/>
      <c r="G237" s="223"/>
      <c r="H237" s="288"/>
      <c r="I237" s="288"/>
      <c r="J237" s="288"/>
      <c r="K237" s="288"/>
      <c r="L237" s="288"/>
      <c r="M237" s="288"/>
      <c r="Z237" s="288"/>
    </row>
    <row r="238" spans="2:26" ht="12.75">
      <c r="B238" s="271" t="s">
        <v>272</v>
      </c>
      <c r="C238" s="250"/>
      <c r="D238" s="611">
        <v>100</v>
      </c>
      <c r="E238" s="250" t="s">
        <v>433</v>
      </c>
      <c r="F238" s="223"/>
      <c r="G238" s="223"/>
      <c r="H238" s="288"/>
      <c r="I238" s="288"/>
      <c r="J238" s="288"/>
      <c r="K238" s="288"/>
      <c r="L238" s="288"/>
      <c r="M238" s="288"/>
      <c r="Z238" s="288"/>
    </row>
    <row r="239" spans="2:26" ht="12.75">
      <c r="B239" s="270" t="s">
        <v>107</v>
      </c>
      <c r="C239" s="250"/>
      <c r="D239" s="317">
        <f>SQRT(D146*D219)</f>
        <v>440.22721406110276</v>
      </c>
      <c r="E239" s="272"/>
      <c r="F239" s="223"/>
      <c r="G239" s="288"/>
      <c r="H239" s="288"/>
      <c r="I239" s="288"/>
      <c r="J239" s="288"/>
      <c r="K239" s="288"/>
      <c r="L239" s="288"/>
      <c r="M239" s="288"/>
      <c r="Z239" s="288"/>
    </row>
    <row r="240" spans="2:26" ht="12.75">
      <c r="B240" s="225" t="s">
        <v>118</v>
      </c>
      <c r="C240" s="289"/>
      <c r="D240" s="321">
        <f>D239^1.5*2.5^0.8/30</f>
        <v>640.8347912017199</v>
      </c>
      <c r="E240" s="272"/>
      <c r="F240" s="215"/>
      <c r="G240" s="288"/>
      <c r="H240" s="288"/>
      <c r="I240" s="288"/>
      <c r="J240" s="288"/>
      <c r="K240" s="288"/>
      <c r="L240" s="288"/>
      <c r="M240" s="288"/>
      <c r="N240" s="288"/>
      <c r="Z240" s="288"/>
    </row>
    <row r="241" spans="2:26" ht="12.75">
      <c r="B241" s="215"/>
      <c r="C241" s="215"/>
      <c r="D241" s="215"/>
      <c r="E241" s="215"/>
      <c r="F241" s="215"/>
      <c r="G241" s="215"/>
      <c r="H241" s="288"/>
      <c r="I241" s="288"/>
      <c r="J241" s="288"/>
      <c r="K241" s="288"/>
      <c r="L241" s="288"/>
      <c r="M241" s="288"/>
      <c r="N241" s="288"/>
      <c r="Z241" s="288"/>
    </row>
    <row r="242" spans="2:26" ht="12.75">
      <c r="B242" s="298" t="s">
        <v>126</v>
      </c>
      <c r="C242" s="307"/>
      <c r="D242" s="311"/>
      <c r="E242" s="215"/>
      <c r="F242" s="215"/>
      <c r="G242" s="215"/>
      <c r="H242" s="288"/>
      <c r="I242" s="288"/>
      <c r="J242" s="288"/>
      <c r="K242" s="288"/>
      <c r="L242" s="288"/>
      <c r="M242" s="288"/>
      <c r="Z242" s="288"/>
    </row>
    <row r="243" spans="2:26" ht="12.75">
      <c r="B243" s="271" t="s">
        <v>61</v>
      </c>
      <c r="C243" s="250"/>
      <c r="D243" s="322">
        <f>1/(1+((PI()^2*D97*D213*D229)/(D231*D187^2)))</f>
        <v>0.09905641109156917</v>
      </c>
      <c r="E243" s="223" t="s">
        <v>430</v>
      </c>
      <c r="F243" s="272"/>
      <c r="G243" s="215"/>
      <c r="H243" s="216"/>
      <c r="I243" s="216"/>
      <c r="J243" s="288"/>
      <c r="K243" s="288"/>
      <c r="L243" s="288"/>
      <c r="M243" s="288"/>
      <c r="Z243" s="288"/>
    </row>
    <row r="244" spans="2:26" ht="12.75">
      <c r="B244" s="267" t="s">
        <v>62</v>
      </c>
      <c r="C244" s="289"/>
      <c r="D244" s="321">
        <f>1/(1+((PI()^2*D220*D221*D238)/(D240*D187^2)))</f>
        <v>0.1870268556084327</v>
      </c>
      <c r="E244" s="272" t="s">
        <v>435</v>
      </c>
      <c r="F244" s="215"/>
      <c r="G244" s="215"/>
      <c r="H244" s="216"/>
      <c r="I244" s="216"/>
      <c r="J244" s="288"/>
      <c r="K244" s="288"/>
      <c r="L244" s="288"/>
      <c r="M244" s="288"/>
      <c r="N244" s="288"/>
      <c r="Z244" s="288"/>
    </row>
    <row r="245" spans="2:26" ht="12.75">
      <c r="B245" s="215"/>
      <c r="C245" s="215"/>
      <c r="D245" s="215"/>
      <c r="E245" s="215"/>
      <c r="F245" s="272"/>
      <c r="G245" s="215"/>
      <c r="H245" s="216"/>
      <c r="I245" s="216"/>
      <c r="J245" s="288"/>
      <c r="K245" s="215"/>
      <c r="L245" s="288"/>
      <c r="M245" s="288"/>
      <c r="N245" s="288"/>
      <c r="Z245" s="288"/>
    </row>
    <row r="246" spans="2:26" ht="12.75">
      <c r="B246" s="298" t="s">
        <v>128</v>
      </c>
      <c r="C246" s="307"/>
      <c r="D246" s="311"/>
      <c r="E246" s="215"/>
      <c r="F246" s="250"/>
      <c r="G246" s="215"/>
      <c r="H246" s="288"/>
      <c r="I246" s="288"/>
      <c r="J246" s="288"/>
      <c r="K246" s="215"/>
      <c r="L246" s="288"/>
      <c r="M246" s="288"/>
      <c r="N246" s="288"/>
      <c r="Z246" s="288"/>
    </row>
    <row r="247" spans="2:26" ht="12.75">
      <c r="B247" s="271" t="s">
        <v>57</v>
      </c>
      <c r="C247" s="250"/>
      <c r="D247" s="323">
        <f>((D243*D97*D213*(M12+D103))-(D244*D220*D221*(D103+D218)))/(2*(D243*D97*D213+D244*D220*D221))</f>
        <v>19.022986780287155</v>
      </c>
      <c r="E247" s="272" t="s">
        <v>134</v>
      </c>
      <c r="F247" s="250"/>
      <c r="G247" s="215"/>
      <c r="H247" s="288"/>
      <c r="I247" s="288"/>
      <c r="J247" s="288"/>
      <c r="K247" s="288"/>
      <c r="L247" s="288"/>
      <c r="M247" s="288"/>
      <c r="N247" s="288"/>
      <c r="Z247" s="288"/>
    </row>
    <row r="248" spans="2:26" ht="12.75">
      <c r="B248" s="271" t="s">
        <v>58</v>
      </c>
      <c r="C248" s="250"/>
      <c r="D248" s="320">
        <f>(M12+D103+D218)/2-D247-(M12/2)</f>
        <v>140.97701321971283</v>
      </c>
      <c r="E248" s="272" t="s">
        <v>115</v>
      </c>
      <c r="F248" s="215"/>
      <c r="G248" s="215"/>
      <c r="H248" s="288"/>
      <c r="I248" s="288"/>
      <c r="J248" s="288"/>
      <c r="K248" s="288"/>
      <c r="L248" s="288"/>
      <c r="M248" s="288"/>
      <c r="N248" s="288"/>
      <c r="Z248" s="288"/>
    </row>
    <row r="249" spans="2:26" ht="12.75">
      <c r="B249" s="267" t="s">
        <v>72</v>
      </c>
      <c r="C249" s="289"/>
      <c r="D249" s="321">
        <f>(M12+D103+D218)/2-(D218/2)+D247</f>
        <v>178.02298678028717</v>
      </c>
      <c r="E249" s="272" t="s">
        <v>116</v>
      </c>
      <c r="F249" s="215"/>
      <c r="G249" s="215"/>
      <c r="H249" s="288"/>
      <c r="I249" s="288"/>
      <c r="J249" s="288"/>
      <c r="K249" s="288"/>
      <c r="L249" s="288"/>
      <c r="M249" s="288"/>
      <c r="N249" s="288"/>
      <c r="Z249" s="288"/>
    </row>
    <row r="250" spans="2:26" ht="12.75">
      <c r="B250" s="215"/>
      <c r="C250" s="215"/>
      <c r="D250" s="215"/>
      <c r="E250" s="215"/>
      <c r="F250" s="215"/>
      <c r="G250" s="215"/>
      <c r="H250" s="215"/>
      <c r="I250" s="215"/>
      <c r="J250" s="288"/>
      <c r="K250" s="288"/>
      <c r="L250" s="288"/>
      <c r="M250" s="288"/>
      <c r="N250" s="288"/>
      <c r="Z250" s="288"/>
    </row>
    <row r="251" spans="2:26" ht="12.75">
      <c r="B251" s="301" t="s">
        <v>126</v>
      </c>
      <c r="C251" s="302"/>
      <c r="D251" s="302"/>
      <c r="E251" s="313"/>
      <c r="F251" s="215"/>
      <c r="G251" s="215"/>
      <c r="H251" s="215"/>
      <c r="I251" s="215"/>
      <c r="J251" s="288"/>
      <c r="K251" s="288"/>
      <c r="L251" s="288"/>
      <c r="M251" s="288"/>
      <c r="N251" s="288"/>
      <c r="Z251" s="288"/>
    </row>
    <row r="252" spans="2:26" ht="12.75">
      <c r="B252" s="246" t="s">
        <v>64</v>
      </c>
      <c r="C252" s="290"/>
      <c r="D252" s="469">
        <f>Mitoitus!H36</f>
        <v>5000</v>
      </c>
      <c r="E252" s="214" t="s">
        <v>0</v>
      </c>
      <c r="F252" s="223" t="s">
        <v>111</v>
      </c>
      <c r="G252" s="215"/>
      <c r="H252" s="215"/>
      <c r="I252" s="215"/>
      <c r="J252" s="288"/>
      <c r="K252" s="288"/>
      <c r="L252" s="288"/>
      <c r="M252" s="288"/>
      <c r="N252" s="288"/>
      <c r="Z252" s="288"/>
    </row>
    <row r="253" spans="2:26" ht="12.75">
      <c r="B253" s="278" t="s">
        <v>91</v>
      </c>
      <c r="C253" s="250"/>
      <c r="D253" s="330">
        <f>(D243*D97*D213*D248^2)/D252</f>
        <v>16771860.262502603</v>
      </c>
      <c r="E253" s="279" t="s">
        <v>40</v>
      </c>
      <c r="F253" s="223" t="s">
        <v>129</v>
      </c>
      <c r="G253" s="215"/>
      <c r="H253" s="288"/>
      <c r="I253" s="288"/>
      <c r="J253" s="288"/>
      <c r="K253" s="288"/>
      <c r="L253" s="288"/>
      <c r="M253" s="288"/>
      <c r="N253" s="288"/>
      <c r="Z253" s="288"/>
    </row>
    <row r="254" spans="2:26" ht="12.75">
      <c r="B254" s="235" t="s">
        <v>94</v>
      </c>
      <c r="C254" s="289"/>
      <c r="D254" s="324">
        <f>(D220*D222+D244*D220*D221*D249^2)/D252</f>
        <v>21029077.31234347</v>
      </c>
      <c r="E254" s="274" t="s">
        <v>40</v>
      </c>
      <c r="F254" s="215"/>
      <c r="G254" s="288"/>
      <c r="H254" s="288"/>
      <c r="I254" s="288"/>
      <c r="J254" s="288"/>
      <c r="K254" s="288"/>
      <c r="L254" s="288"/>
      <c r="M254" s="288"/>
      <c r="N254" s="288"/>
      <c r="Z254" s="288"/>
    </row>
    <row r="255" spans="2:26" ht="12.75">
      <c r="B255" s="284" t="s">
        <v>112</v>
      </c>
      <c r="C255" s="254"/>
      <c r="D255" s="331">
        <f>IF(B180=1,0,(B180-1)*(D253+D254))</f>
        <v>0</v>
      </c>
      <c r="E255" s="291" t="s">
        <v>59</v>
      </c>
      <c r="F255" s="223" t="s">
        <v>135</v>
      </c>
      <c r="G255" s="272"/>
      <c r="H255" s="215"/>
      <c r="I255" s="215"/>
      <c r="J255" s="215"/>
      <c r="K255" s="215"/>
      <c r="L255" s="288"/>
      <c r="M255" s="288"/>
      <c r="N255" s="288"/>
      <c r="Z255" s="288"/>
    </row>
    <row r="256" spans="2:28" ht="12.75">
      <c r="B256" s="286"/>
      <c r="C256" s="265"/>
      <c r="D256" s="286"/>
      <c r="E256" s="275"/>
      <c r="F256" s="223"/>
      <c r="G256" s="272"/>
      <c r="H256" s="215"/>
      <c r="I256" s="215"/>
      <c r="J256" s="215"/>
      <c r="K256" s="215"/>
      <c r="L256" s="288"/>
      <c r="M256" s="288"/>
      <c r="N256" s="288"/>
      <c r="O256" s="288"/>
      <c r="P256" s="288"/>
      <c r="Q256" s="288"/>
      <c r="R256" s="288"/>
      <c r="S256" s="288"/>
      <c r="T256" s="288"/>
      <c r="X256" s="288"/>
      <c r="Y256" s="288"/>
      <c r="Z256" s="288"/>
      <c r="AA256" s="215"/>
      <c r="AB256" s="215"/>
    </row>
    <row r="257" spans="2:28" ht="12.75">
      <c r="B257" s="343" t="s">
        <v>175</v>
      </c>
      <c r="C257" s="254"/>
      <c r="D257" s="340"/>
      <c r="E257" s="341"/>
      <c r="F257" s="254"/>
      <c r="G257" s="236"/>
      <c r="H257" s="342"/>
      <c r="I257" s="342"/>
      <c r="J257" s="236"/>
      <c r="K257" s="236"/>
      <c r="L257" s="236"/>
      <c r="M257" s="236"/>
      <c r="N257" s="236"/>
      <c r="O257" s="236"/>
      <c r="P257" s="236"/>
      <c r="Q257" s="236"/>
      <c r="R257" s="236"/>
      <c r="S257" s="236"/>
      <c r="T257" s="236"/>
      <c r="U257" s="368"/>
      <c r="V257" s="368"/>
      <c r="W257" s="368"/>
      <c r="X257" s="294"/>
      <c r="Y257" s="294"/>
      <c r="Z257" s="288"/>
      <c r="AA257" s="215"/>
      <c r="AB257" s="215"/>
    </row>
    <row r="258" spans="2:28" ht="12.75">
      <c r="B258" s="215"/>
      <c r="C258" s="247"/>
      <c r="D258" s="247"/>
      <c r="E258" s="250"/>
      <c r="F258" s="215"/>
      <c r="G258" s="288"/>
      <c r="H258" s="288"/>
      <c r="I258" s="288"/>
      <c r="J258" s="288"/>
      <c r="K258" s="288"/>
      <c r="L258" s="288"/>
      <c r="M258" s="288"/>
      <c r="N258" s="288"/>
      <c r="O258" s="288"/>
      <c r="P258" s="288"/>
      <c r="Q258" s="288"/>
      <c r="R258" s="288"/>
      <c r="S258" s="288"/>
      <c r="T258" s="288"/>
      <c r="X258" s="288"/>
      <c r="Y258" s="288"/>
      <c r="Z258" s="288"/>
      <c r="AA258" s="215"/>
      <c r="AB258" s="215"/>
    </row>
    <row r="259" spans="2:28" ht="12.75">
      <c r="B259" s="301" t="s">
        <v>291</v>
      </c>
      <c r="C259" s="309"/>
      <c r="D259" s="309"/>
      <c r="E259" s="310"/>
      <c r="G259" s="344"/>
      <c r="H259" s="376"/>
      <c r="I259" s="716" t="s">
        <v>451</v>
      </c>
      <c r="J259" s="713"/>
      <c r="K259" s="714"/>
      <c r="L259" s="714"/>
      <c r="M259" s="714"/>
      <c r="N259" s="714"/>
      <c r="O259" s="714"/>
      <c r="P259" s="715"/>
      <c r="Q259" s="721"/>
      <c r="R259" s="722"/>
      <c r="T259" s="288"/>
      <c r="X259" s="288"/>
      <c r="Y259" s="288"/>
      <c r="Z259" s="288"/>
      <c r="AA259" s="215"/>
      <c r="AB259" s="215"/>
    </row>
    <row r="260" spans="2:28" ht="12.75">
      <c r="B260" s="473" t="s">
        <v>292</v>
      </c>
      <c r="C260" s="474"/>
      <c r="D260" s="475">
        <f>((I60*H60)/1000)/1000</f>
        <v>360000</v>
      </c>
      <c r="E260" s="476" t="s">
        <v>80</v>
      </c>
      <c r="G260" s="286"/>
      <c r="H260" s="431"/>
      <c r="I260" s="932" t="s">
        <v>14</v>
      </c>
      <c r="J260" s="922"/>
      <c r="K260" s="932" t="s">
        <v>182</v>
      </c>
      <c r="L260" s="922"/>
      <c r="M260" s="932" t="s">
        <v>446</v>
      </c>
      <c r="N260" s="922"/>
      <c r="O260" s="239" t="s">
        <v>447</v>
      </c>
      <c r="P260" s="239" t="s">
        <v>299</v>
      </c>
      <c r="Q260" s="720"/>
      <c r="T260" s="288"/>
      <c r="X260" s="288"/>
      <c r="Y260" s="288"/>
      <c r="Z260" s="288"/>
      <c r="AA260" s="215"/>
      <c r="AB260" s="215"/>
    </row>
    <row r="261" spans="2:28" ht="12.75">
      <c r="B261" s="3"/>
      <c r="C261" s="344"/>
      <c r="D261" s="3"/>
      <c r="E261" s="3"/>
      <c r="H261" s="919" t="s">
        <v>290</v>
      </c>
      <c r="I261" s="925" t="str">
        <f>IF(B60&gt;1,"on","ei ole")</f>
        <v>on</v>
      </c>
      <c r="J261" s="926"/>
      <c r="K261" s="925" t="s">
        <v>450</v>
      </c>
      <c r="L261" s="926"/>
      <c r="M261" s="925" t="str">
        <f>IF(B180&gt;1,"on","ei ole")</f>
        <v>ei ole</v>
      </c>
      <c r="N261" s="926"/>
      <c r="O261" s="919">
        <f>IF(I261="on",Mitoitus!H37,Mitoitus!K37)</f>
        <v>6000</v>
      </c>
      <c r="P261" s="931">
        <f>SUM(I262:N262)</f>
        <v>360000</v>
      </c>
      <c r="Q261" s="927" t="s">
        <v>265</v>
      </c>
      <c r="R261" s="928"/>
      <c r="X261" s="288"/>
      <c r="Y261" s="288"/>
      <c r="Z261" s="288"/>
      <c r="AA261" s="215"/>
      <c r="AB261" s="215"/>
    </row>
    <row r="262" spans="2:28" ht="12.75">
      <c r="B262" s="301" t="s">
        <v>288</v>
      </c>
      <c r="C262" s="309"/>
      <c r="D262" s="309"/>
      <c r="E262" s="310"/>
      <c r="H262" s="920"/>
      <c r="I262" s="923">
        <f>D266</f>
        <v>360000</v>
      </c>
      <c r="J262" s="924"/>
      <c r="K262" s="923">
        <f>IF(I261="on",0,IF(K261="on",D269,0))</f>
        <v>0</v>
      </c>
      <c r="L262" s="924"/>
      <c r="M262" s="923">
        <f>IF(I261="on",0,IF(M261="on",D272,0))</f>
        <v>0</v>
      </c>
      <c r="N262" s="924"/>
      <c r="O262" s="920"/>
      <c r="P262" s="920"/>
      <c r="Q262" s="929"/>
      <c r="R262" s="930"/>
      <c r="S262" s="344"/>
      <c r="X262" s="215"/>
      <c r="Y262" s="215"/>
      <c r="Z262" s="288"/>
      <c r="AA262" s="215"/>
      <c r="AB262" s="215"/>
    </row>
    <row r="263" spans="2:28" ht="12.75">
      <c r="B263" s="473" t="s">
        <v>292</v>
      </c>
      <c r="C263" s="474"/>
      <c r="D263" s="475">
        <f>D175/1000</f>
        <v>5645568.372603522</v>
      </c>
      <c r="E263" s="476" t="s">
        <v>80</v>
      </c>
      <c r="F263" s="344"/>
      <c r="H263" s="919" t="s">
        <v>290</v>
      </c>
      <c r="I263" s="925" t="str">
        <f>IF(B60&gt;1,"on","ei ole")</f>
        <v>on</v>
      </c>
      <c r="J263" s="926"/>
      <c r="K263" s="925" t="s">
        <v>450</v>
      </c>
      <c r="L263" s="926"/>
      <c r="M263" s="925" t="str">
        <f>IF(B180&gt;1,"on","ei ole")</f>
        <v>ei ole</v>
      </c>
      <c r="N263" s="926"/>
      <c r="O263" s="919">
        <f>Mitoitus!H37</f>
        <v>6000</v>
      </c>
      <c r="P263" s="931">
        <f>SUM(I264:N264)</f>
        <v>364158.216</v>
      </c>
      <c r="Q263" s="927" t="s">
        <v>266</v>
      </c>
      <c r="R263" s="928"/>
      <c r="S263" s="344"/>
      <c r="X263" s="288"/>
      <c r="Y263" s="288"/>
      <c r="Z263" s="288"/>
      <c r="AA263" s="215"/>
      <c r="AB263" s="215"/>
    </row>
    <row r="264" spans="2:28" ht="12.75">
      <c r="B264" s="3"/>
      <c r="C264" s="344"/>
      <c r="D264" s="3"/>
      <c r="E264" s="3"/>
      <c r="F264" s="344"/>
      <c r="H264" s="920"/>
      <c r="I264" s="923">
        <f>D266</f>
        <v>360000</v>
      </c>
      <c r="J264" s="924"/>
      <c r="K264" s="923">
        <f>D269</f>
        <v>4158.216</v>
      </c>
      <c r="L264" s="924"/>
      <c r="M264" s="923">
        <f>D272</f>
        <v>0</v>
      </c>
      <c r="N264" s="924"/>
      <c r="O264" s="920"/>
      <c r="P264" s="920"/>
      <c r="Q264" s="929"/>
      <c r="R264" s="930"/>
      <c r="S264" s="344"/>
      <c r="X264" s="288"/>
      <c r="Y264" s="288"/>
      <c r="Z264" s="288"/>
      <c r="AA264" s="215"/>
      <c r="AB264" s="215"/>
    </row>
    <row r="265" spans="2:28" ht="12.75">
      <c r="B265" s="301" t="s">
        <v>293</v>
      </c>
      <c r="C265" s="309"/>
      <c r="D265" s="309"/>
      <c r="E265" s="310"/>
      <c r="F265" s="344"/>
      <c r="H265" s="712" t="s">
        <v>452</v>
      </c>
      <c r="I265" s="921">
        <f>IF(K5="Elementtirakenteinen",I262,I264)</f>
        <v>360000</v>
      </c>
      <c r="J265" s="922"/>
      <c r="K265" s="921">
        <f>IF(K5="Elementtirakenteinen",K262,K264)</f>
        <v>0</v>
      </c>
      <c r="L265" s="922"/>
      <c r="M265" s="921">
        <f>IF(K5="Elementtirakenteinen",M262,M264)</f>
        <v>0</v>
      </c>
      <c r="N265" s="922"/>
      <c r="O265" s="530">
        <f>IF(K5="Elementtirakenteinen",O261,O263)</f>
        <v>6000</v>
      </c>
      <c r="P265" s="719">
        <f>IF(K5="Elementtirakenteinen",P261,P263)</f>
        <v>360000</v>
      </c>
      <c r="Q265" s="903" t="s">
        <v>458</v>
      </c>
      <c r="R265" s="904"/>
      <c r="S265" s="904"/>
      <c r="X265" s="288"/>
      <c r="Y265" s="288"/>
      <c r="Z265" s="288"/>
      <c r="AA265" s="215"/>
      <c r="AB265" s="215"/>
    </row>
    <row r="266" spans="2:28" ht="12.75">
      <c r="B266" s="473" t="s">
        <v>290</v>
      </c>
      <c r="C266" s="474"/>
      <c r="D266" s="475">
        <f>((I60*H60)/1000)/1000</f>
        <v>360000</v>
      </c>
      <c r="E266" s="476" t="s">
        <v>80</v>
      </c>
      <c r="F266" s="344"/>
      <c r="H266" s="288"/>
      <c r="I266" s="288"/>
      <c r="J266" s="288"/>
      <c r="K266" s="288"/>
      <c r="L266" s="288"/>
      <c r="M266" s="288"/>
      <c r="N266" s="288"/>
      <c r="O266" s="288"/>
      <c r="P266" s="288"/>
      <c r="Q266" s="292"/>
      <c r="R266" s="288"/>
      <c r="S266" s="288"/>
      <c r="T266" s="292"/>
      <c r="U266" s="344"/>
      <c r="V266" s="344"/>
      <c r="X266" s="288"/>
      <c r="Y266" s="288"/>
      <c r="Z266" s="288"/>
      <c r="AA266" s="215"/>
      <c r="AB266" s="215"/>
    </row>
    <row r="267" spans="2:28" ht="12.75">
      <c r="B267" s="344"/>
      <c r="C267" s="344"/>
      <c r="D267" s="344"/>
      <c r="E267" s="344"/>
      <c r="F267" s="247"/>
      <c r="G267" s="288"/>
      <c r="H267" s="292"/>
      <c r="I267" s="292"/>
      <c r="J267" s="292"/>
      <c r="K267" s="215"/>
      <c r="L267" s="288"/>
      <c r="M267" s="288"/>
      <c r="N267" s="288"/>
      <c r="O267" s="288"/>
      <c r="P267" s="288"/>
      <c r="Q267" s="288"/>
      <c r="R267" s="288"/>
      <c r="S267" s="288"/>
      <c r="T267" s="288"/>
      <c r="X267" s="288"/>
      <c r="Y267" s="288"/>
      <c r="Z267" s="288"/>
      <c r="AA267" s="215"/>
      <c r="AB267" s="215"/>
    </row>
    <row r="268" spans="2:28" ht="12.75">
      <c r="B268" s="301" t="s">
        <v>192</v>
      </c>
      <c r="C268" s="309"/>
      <c r="D268" s="309"/>
      <c r="E268" s="310"/>
      <c r="F268" s="215"/>
      <c r="G268" s="215"/>
      <c r="H268" s="292"/>
      <c r="I268" s="292"/>
      <c r="J268" s="292"/>
      <c r="K268" s="288"/>
      <c r="L268" s="288"/>
      <c r="M268" s="288"/>
      <c r="N268" s="288"/>
      <c r="O268" s="288"/>
      <c r="P268" s="288"/>
      <c r="Q268" s="288"/>
      <c r="R268" s="288"/>
      <c r="S268" s="288"/>
      <c r="T268" s="288"/>
      <c r="X268" s="288"/>
      <c r="Y268" s="288"/>
      <c r="Z268" s="288"/>
      <c r="AA268" s="215"/>
      <c r="AB268" s="215"/>
    </row>
    <row r="269" spans="2:28" ht="12.75">
      <c r="B269" s="473" t="s">
        <v>290</v>
      </c>
      <c r="C269" s="474"/>
      <c r="D269" s="475">
        <f>Y12/1000</f>
        <v>4158.216</v>
      </c>
      <c r="E269" s="476" t="s">
        <v>80</v>
      </c>
      <c r="F269" s="215"/>
      <c r="G269" s="288"/>
      <c r="H269" s="288"/>
      <c r="I269" s="288"/>
      <c r="J269" s="288"/>
      <c r="K269" s="288"/>
      <c r="L269" s="288"/>
      <c r="M269" s="288"/>
      <c r="N269" s="288"/>
      <c r="O269" s="288"/>
      <c r="P269" s="288"/>
      <c r="Q269" s="288"/>
      <c r="R269" s="288"/>
      <c r="S269" s="288"/>
      <c r="T269" s="288"/>
      <c r="X269" s="288"/>
      <c r="Y269" s="288"/>
      <c r="Z269" s="288"/>
      <c r="AA269" s="215"/>
      <c r="AB269" s="215"/>
    </row>
    <row r="270" spans="2:28" ht="12.75">
      <c r="B270" s="258"/>
      <c r="C270" s="247"/>
      <c r="D270" s="380"/>
      <c r="E270" s="252"/>
      <c r="F270" s="250"/>
      <c r="G270" s="288"/>
      <c r="H270" s="288"/>
      <c r="I270" s="288"/>
      <c r="J270" s="288"/>
      <c r="K270" s="288"/>
      <c r="L270" s="288"/>
      <c r="M270" s="288"/>
      <c r="N270" s="288"/>
      <c r="O270" s="288"/>
      <c r="P270" s="288"/>
      <c r="Q270" s="288"/>
      <c r="R270" s="288"/>
      <c r="S270" s="288"/>
      <c r="T270" s="288"/>
      <c r="X270" s="288"/>
      <c r="Y270" s="288"/>
      <c r="Z270" s="288"/>
      <c r="AA270" s="215"/>
      <c r="AB270" s="215"/>
    </row>
    <row r="271" spans="2:28" ht="12.75">
      <c r="B271" s="301" t="s">
        <v>297</v>
      </c>
      <c r="C271" s="309"/>
      <c r="D271" s="309"/>
      <c r="E271" s="310"/>
      <c r="F271" s="250"/>
      <c r="G271" s="288"/>
      <c r="H271" s="288"/>
      <c r="I271" s="288"/>
      <c r="J271" s="288"/>
      <c r="K271" s="288"/>
      <c r="L271" s="288"/>
      <c r="M271" s="288"/>
      <c r="N271" s="288"/>
      <c r="O271" s="288"/>
      <c r="P271" s="288"/>
      <c r="Q271" s="288"/>
      <c r="R271" s="288"/>
      <c r="S271" s="288"/>
      <c r="T271" s="288"/>
      <c r="X271" s="215"/>
      <c r="Y271" s="215"/>
      <c r="Z271" s="215"/>
      <c r="AA271" s="215"/>
      <c r="AB271" s="215"/>
    </row>
    <row r="272" spans="2:28" ht="12.75">
      <c r="B272" s="473" t="s">
        <v>290</v>
      </c>
      <c r="C272" s="474"/>
      <c r="D272" s="475">
        <f>(IF(I12=0,Q233,D255))/1000</f>
        <v>0</v>
      </c>
      <c r="E272" s="476" t="s">
        <v>80</v>
      </c>
      <c r="F272" s="215"/>
      <c r="G272" s="217"/>
      <c r="H272" s="288"/>
      <c r="I272" s="288"/>
      <c r="J272" s="288"/>
      <c r="K272" s="288"/>
      <c r="L272" s="288"/>
      <c r="M272" s="288"/>
      <c r="N272" s="288"/>
      <c r="O272" s="288"/>
      <c r="P272" s="288"/>
      <c r="Q272" s="288"/>
      <c r="R272" s="288"/>
      <c r="S272" s="288"/>
      <c r="T272" s="288"/>
      <c r="X272" s="55"/>
      <c r="Y272" s="55"/>
      <c r="Z272" s="55"/>
      <c r="AA272" s="55"/>
      <c r="AB272" s="55"/>
    </row>
    <row r="273" spans="6:28" ht="12.75">
      <c r="F273" s="215"/>
      <c r="G273" s="217"/>
      <c r="H273" s="288"/>
      <c r="I273" s="288"/>
      <c r="J273" s="288"/>
      <c r="K273" s="215"/>
      <c r="L273" s="215"/>
      <c r="M273" s="215"/>
      <c r="N273" s="215"/>
      <c r="O273" s="215"/>
      <c r="P273" s="215"/>
      <c r="Q273" s="215"/>
      <c r="R273" s="215"/>
      <c r="S273" s="215"/>
      <c r="T273" s="215"/>
      <c r="X273" s="55"/>
      <c r="Y273" s="55"/>
      <c r="Z273" s="55"/>
      <c r="AA273" s="55"/>
      <c r="AB273" s="55"/>
    </row>
    <row r="274" spans="2:28" ht="12.75">
      <c r="B274" s="549" t="s">
        <v>334</v>
      </c>
      <c r="C274" s="541"/>
      <c r="D274" s="541"/>
      <c r="E274" s="548"/>
      <c r="F274" s="215"/>
      <c r="G274" s="217"/>
      <c r="X274" s="55"/>
      <c r="Y274" s="55"/>
      <c r="Z274" s="55"/>
      <c r="AA274" s="55"/>
      <c r="AB274" s="55"/>
    </row>
    <row r="275" spans="2:28" ht="12.75">
      <c r="B275" s="301" t="s">
        <v>298</v>
      </c>
      <c r="C275" s="541"/>
      <c r="D275" s="542">
        <f>D260+D263</f>
        <v>6005568.372603522</v>
      </c>
      <c r="E275" s="543" t="s">
        <v>331</v>
      </c>
      <c r="F275" s="272"/>
      <c r="G275" s="288"/>
      <c r="V275" s="55"/>
      <c r="W275" s="55"/>
      <c r="X275" s="55"/>
      <c r="Y275" s="55"/>
      <c r="Z275" s="55"/>
      <c r="AA275" s="55"/>
      <c r="AB275" s="55"/>
    </row>
    <row r="276" spans="2:28" ht="12.75">
      <c r="B276" s="544" t="s">
        <v>299</v>
      </c>
      <c r="C276" s="545"/>
      <c r="D276" s="546">
        <f>P265</f>
        <v>360000</v>
      </c>
      <c r="E276" s="547" t="s">
        <v>331</v>
      </c>
      <c r="F276" s="250"/>
      <c r="G276" s="288"/>
      <c r="V276" s="55"/>
      <c r="W276" s="55"/>
      <c r="X276" s="55"/>
      <c r="Y276" s="55"/>
      <c r="Z276" s="55"/>
      <c r="AA276" s="55"/>
      <c r="AB276" s="55"/>
    </row>
    <row r="277" spans="6:7" ht="12.75">
      <c r="F277" s="215"/>
      <c r="G277" s="706"/>
    </row>
    <row r="278" spans="2:6" ht="12.75">
      <c r="B278" s="905" t="s">
        <v>19</v>
      </c>
      <c r="C278" s="911"/>
      <c r="D278" s="911"/>
      <c r="E278" s="912"/>
      <c r="F278" s="258"/>
    </row>
    <row r="279" spans="2:7" ht="12.75">
      <c r="B279" s="242" t="s">
        <v>38</v>
      </c>
      <c r="C279" s="244"/>
      <c r="D279" s="314">
        <f>Mitoitus!H36/1000</f>
        <v>5</v>
      </c>
      <c r="E279" s="566" t="s">
        <v>303</v>
      </c>
      <c r="G279" s="215"/>
    </row>
    <row r="280" spans="2:7" ht="12.75">
      <c r="B280" s="222" t="s">
        <v>83</v>
      </c>
      <c r="C280" s="216"/>
      <c r="D280" s="314">
        <f>O265/1000</f>
        <v>6</v>
      </c>
      <c r="E280" s="565" t="s">
        <v>303</v>
      </c>
      <c r="G280" s="215"/>
    </row>
    <row r="281" spans="2:7" ht="12.75">
      <c r="B281" s="278" t="s">
        <v>96</v>
      </c>
      <c r="C281" s="216"/>
      <c r="D281" s="539">
        <f>D275</f>
        <v>6005568.372603522</v>
      </c>
      <c r="E281" s="567" t="s">
        <v>341</v>
      </c>
      <c r="G281" s="250"/>
    </row>
    <row r="282" spans="2:7" ht="12.75">
      <c r="B282" s="278" t="s">
        <v>97</v>
      </c>
      <c r="C282" s="216"/>
      <c r="D282" s="539">
        <f>D276</f>
        <v>360000</v>
      </c>
      <c r="E282" s="485" t="s">
        <v>80</v>
      </c>
      <c r="G282" s="215"/>
    </row>
    <row r="283" spans="2:7" ht="12.75">
      <c r="B283" s="278" t="s">
        <v>81</v>
      </c>
      <c r="C283" s="216"/>
      <c r="D283" s="316">
        <f>(Mitoitus!H42*1000/9.81)+K60</f>
        <v>200.9683995922528</v>
      </c>
      <c r="E283" s="565" t="s">
        <v>340</v>
      </c>
      <c r="G283" s="215"/>
    </row>
    <row r="284" spans="2:5" ht="12.75">
      <c r="B284" s="278" t="s">
        <v>82</v>
      </c>
      <c r="C284" s="216"/>
      <c r="D284" s="316">
        <f>Mitoitus!H44</f>
        <v>30</v>
      </c>
      <c r="E284" s="565" t="s">
        <v>340</v>
      </c>
    </row>
    <row r="285" spans="2:5" ht="12.75">
      <c r="B285" s="278" t="s">
        <v>84</v>
      </c>
      <c r="C285" s="216"/>
      <c r="D285" s="317">
        <f>(PI()/(2*D279^2))*SQRT(D281/(D283+D284))</f>
        <v>10.131660850204062</v>
      </c>
      <c r="E285" s="486" t="s">
        <v>79</v>
      </c>
    </row>
    <row r="286" spans="2:5" ht="12.75">
      <c r="B286" s="235" t="s">
        <v>84</v>
      </c>
      <c r="C286" s="236"/>
      <c r="D286" s="318">
        <f>(PI()/(2*D279^2))*SQRT(D281/(D283+D284))*SQRT(1+(2*(D279/D280)^2+(D279/D280)^4)*(D282/D281))</f>
        <v>10.684769135050532</v>
      </c>
      <c r="E286" s="487" t="s">
        <v>78</v>
      </c>
    </row>
    <row r="287" spans="2:21" ht="12.75">
      <c r="B287" s="384" t="s">
        <v>304</v>
      </c>
      <c r="C287" s="488"/>
      <c r="D287" s="489">
        <f>IF(B5=1,D285,D286)</f>
        <v>10.131660850204062</v>
      </c>
      <c r="E287" s="490" t="s">
        <v>13</v>
      </c>
      <c r="H287" s="55"/>
      <c r="O287" s="55"/>
      <c r="P287" s="55"/>
      <c r="Q287" s="55"/>
      <c r="R287" s="55"/>
      <c r="S287" s="55"/>
      <c r="T287" s="55"/>
      <c r="U287" s="55"/>
    </row>
    <row r="288" ht="12.75">
      <c r="U288" s="55"/>
    </row>
    <row r="289" spans="2:5" ht="12.75">
      <c r="B289" s="905" t="s">
        <v>149</v>
      </c>
      <c r="C289" s="911"/>
      <c r="D289" s="911"/>
      <c r="E289" s="912"/>
    </row>
    <row r="290" spans="2:5" ht="12.75">
      <c r="B290" s="248" t="s">
        <v>45</v>
      </c>
      <c r="C290" s="293"/>
      <c r="D290" s="319">
        <f>Mitoitus!H38</f>
        <v>6</v>
      </c>
      <c r="E290" s="495" t="s">
        <v>303</v>
      </c>
    </row>
    <row r="291" spans="2:5" ht="12.75">
      <c r="B291" s="271" t="s">
        <v>47</v>
      </c>
      <c r="C291" s="292"/>
      <c r="D291" s="320">
        <f>IF(D290&gt;=6,1,1/(0.318+0.114*D290))</f>
        <v>1</v>
      </c>
      <c r="E291" s="493"/>
    </row>
    <row r="292" spans="2:5" ht="12.75">
      <c r="B292" s="271" t="s">
        <v>113</v>
      </c>
      <c r="C292" s="292"/>
      <c r="D292" s="320">
        <v>0.5</v>
      </c>
      <c r="E292" s="493" t="s">
        <v>0</v>
      </c>
    </row>
    <row r="293" spans="2:5" ht="12.75">
      <c r="B293" s="266" t="s">
        <v>39</v>
      </c>
      <c r="C293" s="643"/>
      <c r="D293" s="644">
        <f>D292*D291</f>
        <v>0.5</v>
      </c>
      <c r="E293" s="497" t="s">
        <v>0</v>
      </c>
    </row>
    <row r="295" spans="2:5" ht="12.75">
      <c r="B295" s="905" t="s">
        <v>301</v>
      </c>
      <c r="C295" s="911"/>
      <c r="D295" s="911"/>
      <c r="E295" s="912"/>
    </row>
    <row r="296" spans="2:5" ht="12.75">
      <c r="B296" s="477" t="s">
        <v>20</v>
      </c>
      <c r="C296" s="293"/>
      <c r="D296" s="480">
        <f>IF(B5=2,(D276/D275)^0.25,MIN((D276/D275)^0.25,(D280/D279)))</f>
        <v>0.4948084370771857</v>
      </c>
      <c r="E296" s="492"/>
    </row>
    <row r="297" spans="2:5" ht="12.75">
      <c r="B297" s="478" t="s">
        <v>21</v>
      </c>
      <c r="C297" s="292"/>
      <c r="D297" s="481">
        <f>(MIN((1000*(D279)^2)/(42*D296*D275),(1000*(D279)^3)/(48*(D137/1000)*D275)))*1000</f>
        <v>0.20030855881542228</v>
      </c>
      <c r="E297" s="493" t="s">
        <v>0</v>
      </c>
    </row>
    <row r="298" spans="2:5" ht="12.75">
      <c r="B298" s="479" t="s">
        <v>22</v>
      </c>
      <c r="C298" s="294"/>
      <c r="D298" s="482">
        <f>((1000*(D279)^3)/(48*(D95*1000000)*(D105*0.000000000001)))*1000</f>
        <v>1.6445118036479218</v>
      </c>
      <c r="E298" s="494" t="s">
        <v>0</v>
      </c>
    </row>
    <row r="299" spans="2:5" ht="12.75">
      <c r="B299" s="496" t="s">
        <v>306</v>
      </c>
      <c r="C299" s="488"/>
      <c r="D299" s="489">
        <f>MIN(D297:D298)</f>
        <v>0.20030855881542228</v>
      </c>
      <c r="E299" s="497" t="s">
        <v>0</v>
      </c>
    </row>
  </sheetData>
  <sheetProtection/>
  <mergeCells count="97">
    <mergeCell ref="K263:L263"/>
    <mergeCell ref="I260:J260"/>
    <mergeCell ref="K260:L260"/>
    <mergeCell ref="M260:N260"/>
    <mergeCell ref="M261:N261"/>
    <mergeCell ref="M262:N262"/>
    <mergeCell ref="Q261:R262"/>
    <mergeCell ref="Q263:R264"/>
    <mergeCell ref="I261:J261"/>
    <mergeCell ref="I262:J262"/>
    <mergeCell ref="K261:L261"/>
    <mergeCell ref="K262:L262"/>
    <mergeCell ref="P261:P262"/>
    <mergeCell ref="O263:O264"/>
    <mergeCell ref="P263:P264"/>
    <mergeCell ref="I263:J263"/>
    <mergeCell ref="H261:H262"/>
    <mergeCell ref="H263:H264"/>
    <mergeCell ref="O261:O262"/>
    <mergeCell ref="I265:J265"/>
    <mergeCell ref="K265:L265"/>
    <mergeCell ref="M265:N265"/>
    <mergeCell ref="K264:L264"/>
    <mergeCell ref="I264:J264"/>
    <mergeCell ref="M263:N263"/>
    <mergeCell ref="M264:N264"/>
    <mergeCell ref="U104:V104"/>
    <mergeCell ref="U105:V105"/>
    <mergeCell ref="U106:V106"/>
    <mergeCell ref="O211:T211"/>
    <mergeCell ref="I21:L21"/>
    <mergeCell ref="I22:L22"/>
    <mergeCell ref="I40:L40"/>
    <mergeCell ref="I41:L41"/>
    <mergeCell ref="I34:L34"/>
    <mergeCell ref="I35:L35"/>
    <mergeCell ref="I36:L36"/>
    <mergeCell ref="I37:L37"/>
    <mergeCell ref="B87:E87"/>
    <mergeCell ref="D88:E88"/>
    <mergeCell ref="B295:E295"/>
    <mergeCell ref="B234:G234"/>
    <mergeCell ref="B233:G233"/>
    <mergeCell ref="B289:E289"/>
    <mergeCell ref="B278:E278"/>
    <mergeCell ref="B224:G224"/>
    <mergeCell ref="B225:G225"/>
    <mergeCell ref="Q265:S265"/>
    <mergeCell ref="O202:T202"/>
    <mergeCell ref="O203:T203"/>
    <mergeCell ref="I27:L27"/>
    <mergeCell ref="I32:L32"/>
    <mergeCell ref="I33:L33"/>
    <mergeCell ref="I38:L38"/>
    <mergeCell ref="I39:L39"/>
    <mergeCell ref="O212:T212"/>
    <mergeCell ref="L104:N104"/>
    <mergeCell ref="C11:H11"/>
    <mergeCell ref="I25:L25"/>
    <mergeCell ref="I26:L26"/>
    <mergeCell ref="I18:L18"/>
    <mergeCell ref="I19:L19"/>
    <mergeCell ref="I20:L20"/>
    <mergeCell ref="I13:L13"/>
    <mergeCell ref="I14:L14"/>
    <mergeCell ref="I15:L15"/>
    <mergeCell ref="I16:L16"/>
    <mergeCell ref="B4:H4"/>
    <mergeCell ref="B9:H10"/>
    <mergeCell ref="I9:R9"/>
    <mergeCell ref="I10:L10"/>
    <mergeCell ref="S9:X9"/>
    <mergeCell ref="I11:L11"/>
    <mergeCell ref="I30:L30"/>
    <mergeCell ref="I31:L31"/>
    <mergeCell ref="I23:L23"/>
    <mergeCell ref="I24:L24"/>
    <mergeCell ref="I28:L28"/>
    <mergeCell ref="I29:L29"/>
    <mergeCell ref="I12:L12"/>
    <mergeCell ref="I17:L17"/>
    <mergeCell ref="I46:L46"/>
    <mergeCell ref="I47:L47"/>
    <mergeCell ref="I48:L48"/>
    <mergeCell ref="I49:L49"/>
    <mergeCell ref="I42:L42"/>
    <mergeCell ref="I43:L43"/>
    <mergeCell ref="I44:L44"/>
    <mergeCell ref="I45:L45"/>
    <mergeCell ref="I50:L50"/>
    <mergeCell ref="I51:L51"/>
    <mergeCell ref="I56:L56"/>
    <mergeCell ref="B58:E59"/>
    <mergeCell ref="I52:L52"/>
    <mergeCell ref="I53:L53"/>
    <mergeCell ref="I54:L54"/>
    <mergeCell ref="I55:L55"/>
  </mergeCells>
  <printOptions/>
  <pageMargins left="0.75" right="0.75" top="1" bottom="1"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Taul2"/>
  <dimension ref="A1:Q152"/>
  <sheetViews>
    <sheetView zoomScalePageLayoutView="0" workbookViewId="0" topLeftCell="A1">
      <selection activeCell="A1" sqref="A1"/>
    </sheetView>
  </sheetViews>
  <sheetFormatPr defaultColWidth="9.140625" defaultRowHeight="12.75"/>
  <sheetData>
    <row r="1" spans="2:10" ht="12.75">
      <c r="B1" s="597" t="s">
        <v>475</v>
      </c>
      <c r="E1" s="599"/>
      <c r="F1" s="2" t="s">
        <v>387</v>
      </c>
      <c r="J1" s="597" t="s">
        <v>476</v>
      </c>
    </row>
    <row r="2" ht="12.75">
      <c r="F2" s="2" t="s">
        <v>386</v>
      </c>
    </row>
    <row r="3" spans="1:13" ht="12.75">
      <c r="A3" s="2"/>
      <c r="B3" s="2"/>
      <c r="C3" s="4" t="s">
        <v>1</v>
      </c>
      <c r="D3" s="4" t="s">
        <v>2</v>
      </c>
      <c r="F3" s="600">
        <f>IF(Palkkikirjasto!D12&lt;29,0,IF(Palkkikirjasto!D12&gt;38,0,1))</f>
        <v>0</v>
      </c>
      <c r="L3" s="4" t="s">
        <v>1</v>
      </c>
      <c r="M3" s="4" t="s">
        <v>2</v>
      </c>
    </row>
    <row r="4" spans="1:17" ht="12.75">
      <c r="A4" s="2"/>
      <c r="B4" s="2" t="s">
        <v>51</v>
      </c>
      <c r="C4" s="598">
        <v>0</v>
      </c>
      <c r="D4" s="598">
        <v>0</v>
      </c>
      <c r="J4" s="2" t="s">
        <v>407</v>
      </c>
      <c r="L4" s="2">
        <f>IF(Q4=1,0,0)</f>
        <v>0</v>
      </c>
      <c r="M4" s="2">
        <f>IF(Q4=1,0,0)</f>
        <v>0</v>
      </c>
      <c r="O4" s="2" t="s">
        <v>408</v>
      </c>
      <c r="Q4" s="525">
        <f>Data!B180</f>
        <v>1</v>
      </c>
    </row>
    <row r="5" spans="1:13" ht="12.75">
      <c r="A5" s="2"/>
      <c r="B5" s="2"/>
      <c r="C5" s="598">
        <f>H9</f>
        <v>51</v>
      </c>
      <c r="D5" s="2">
        <v>0</v>
      </c>
      <c r="F5" s="2" t="s">
        <v>391</v>
      </c>
      <c r="H5" s="601">
        <v>70</v>
      </c>
      <c r="K5" s="2"/>
      <c r="L5" s="2">
        <f>IF(Q4=1,0,C5)</f>
        <v>0</v>
      </c>
      <c r="M5" s="2">
        <f>IF(Q4=1,0,D5)</f>
        <v>0</v>
      </c>
    </row>
    <row r="6" spans="1:17" ht="12.75">
      <c r="A6" s="2"/>
      <c r="B6" s="2"/>
      <c r="C6" s="2">
        <f>H9</f>
        <v>51</v>
      </c>
      <c r="D6" s="598">
        <f>H5</f>
        <v>70</v>
      </c>
      <c r="F6" s="2" t="s">
        <v>390</v>
      </c>
      <c r="G6" s="2"/>
      <c r="H6" s="601">
        <v>6</v>
      </c>
      <c r="K6" s="2"/>
      <c r="L6" s="2">
        <f>IF(Q4=1,0,C6)</f>
        <v>0</v>
      </c>
      <c r="M6" s="2">
        <f>IF(Q4=1,0,D6)</f>
        <v>0</v>
      </c>
      <c r="O6" s="2" t="s">
        <v>409</v>
      </c>
      <c r="Q6" s="525">
        <f>Data!D217</f>
        <v>98</v>
      </c>
    </row>
    <row r="7" spans="1:17" ht="12.75">
      <c r="A7" s="2"/>
      <c r="B7" s="2"/>
      <c r="C7" s="598">
        <f>IF(F3=0,H9,H9-(H9-H6)/2)</f>
        <v>51</v>
      </c>
      <c r="D7" s="598">
        <f>H5</f>
        <v>70</v>
      </c>
      <c r="F7" s="2" t="s">
        <v>392</v>
      </c>
      <c r="H7" s="601">
        <v>20</v>
      </c>
      <c r="K7" s="2"/>
      <c r="L7" s="2">
        <f>IF(Q4=1,0,C7)</f>
        <v>0</v>
      </c>
      <c r="M7" s="2">
        <f>IF(Q4=1,0,D7)</f>
        <v>0</v>
      </c>
      <c r="O7" s="2" t="s">
        <v>410</v>
      </c>
      <c r="Q7" s="525">
        <f>Data!D218</f>
        <v>20</v>
      </c>
    </row>
    <row r="8" spans="1:13" ht="12.75">
      <c r="A8" s="2"/>
      <c r="B8" s="2"/>
      <c r="C8" s="2">
        <f>IF(F3=0,H9,C7-H8)</f>
        <v>51</v>
      </c>
      <c r="D8" s="2">
        <f>D7-H7</f>
        <v>50</v>
      </c>
      <c r="F8" s="2" t="s">
        <v>393</v>
      </c>
      <c r="H8" s="601">
        <v>1.5</v>
      </c>
      <c r="K8" s="2"/>
      <c r="L8" s="2">
        <f>IF(Q4=1,0,C8)</f>
        <v>0</v>
      </c>
      <c r="M8" s="2">
        <f>IF(Q4=1,0,D8)</f>
        <v>0</v>
      </c>
    </row>
    <row r="9" spans="1:13" ht="12.75">
      <c r="A9" s="2"/>
      <c r="B9" s="2"/>
      <c r="C9" s="2">
        <f>IF(F3=0,H9,C8-(2*H8))</f>
        <v>51</v>
      </c>
      <c r="D9" s="2">
        <f>D8</f>
        <v>50</v>
      </c>
      <c r="F9" s="2" t="s">
        <v>389</v>
      </c>
      <c r="H9" s="601">
        <f>Palkkikirjasto!F12</f>
        <v>51</v>
      </c>
      <c r="K9" s="2"/>
      <c r="L9" s="2">
        <f>IF(Q4=1,0,C9)</f>
        <v>0</v>
      </c>
      <c r="M9" s="2">
        <f>IF(Q4=1,0,D9)</f>
        <v>0</v>
      </c>
    </row>
    <row r="10" spans="1:13" ht="12.75">
      <c r="A10" s="2"/>
      <c r="B10" s="2"/>
      <c r="C10" s="2">
        <f>IF(F3=0,H9,C9-H8)</f>
        <v>51</v>
      </c>
      <c r="D10" s="2">
        <f>H5</f>
        <v>70</v>
      </c>
      <c r="F10" s="2" t="s">
        <v>388</v>
      </c>
      <c r="H10" s="2">
        <f>Palkkikirjasto!G12</f>
        <v>300</v>
      </c>
      <c r="K10" s="2"/>
      <c r="L10" s="2">
        <f>IF(Q4=1,0,C10)</f>
        <v>0</v>
      </c>
      <c r="M10" s="2">
        <f>IF(Q4=1,0,D10)</f>
        <v>0</v>
      </c>
    </row>
    <row r="11" spans="1:13" ht="12.75">
      <c r="A11" s="2"/>
      <c r="B11" s="2"/>
      <c r="C11" s="2">
        <f>C10</f>
        <v>51</v>
      </c>
      <c r="D11" s="598">
        <f>H10-H5</f>
        <v>230</v>
      </c>
      <c r="K11" s="2"/>
      <c r="L11" s="2">
        <f>IF(Q4=1,0,C11)</f>
        <v>0</v>
      </c>
      <c r="M11" s="2">
        <f>IF(Q4=1,0,D11)</f>
        <v>0</v>
      </c>
    </row>
    <row r="12" spans="1:13" ht="12.75">
      <c r="A12" s="2"/>
      <c r="B12" s="2"/>
      <c r="C12" s="2">
        <f>IF(F3=0,H9,C11+H8)</f>
        <v>51</v>
      </c>
      <c r="D12" s="2">
        <f>D11+20</f>
        <v>250</v>
      </c>
      <c r="F12" s="2" t="s">
        <v>396</v>
      </c>
      <c r="H12" s="2">
        <f>Data!M12</f>
        <v>18</v>
      </c>
      <c r="K12" s="2"/>
      <c r="L12" s="2">
        <f>IF(Q4=1,0,C12)</f>
        <v>0</v>
      </c>
      <c r="M12" s="2">
        <f>IF(Q4=1,0,D12)</f>
        <v>0</v>
      </c>
    </row>
    <row r="13" spans="1:13" ht="12.75">
      <c r="A13" s="2"/>
      <c r="B13" s="2"/>
      <c r="C13" s="598">
        <f>IF(F3=0,H9,C12+(2*H8))</f>
        <v>51</v>
      </c>
      <c r="D13" s="2">
        <f>D12</f>
        <v>250</v>
      </c>
      <c r="F13" s="2" t="s">
        <v>398</v>
      </c>
      <c r="H13" s="2">
        <f>Data!S12</f>
        <v>0</v>
      </c>
      <c r="K13" s="2"/>
      <c r="L13" s="2">
        <f>IF(Q4=1,0,C13)</f>
        <v>0</v>
      </c>
      <c r="M13" s="2">
        <f>IF(Q4=1,0,D13)</f>
        <v>0</v>
      </c>
    </row>
    <row r="14" spans="1:13" ht="12.75">
      <c r="A14" s="2"/>
      <c r="B14" s="2"/>
      <c r="C14" s="598">
        <f>IF(F3=0,H9,C13+H8)</f>
        <v>51</v>
      </c>
      <c r="D14" s="598">
        <f>D11</f>
        <v>230</v>
      </c>
      <c r="F14" s="2" t="s">
        <v>397</v>
      </c>
      <c r="H14" s="2">
        <f>Data!T12</f>
        <v>0</v>
      </c>
      <c r="K14" s="2"/>
      <c r="L14" s="2">
        <f>IF(Q4=1,0,C14)</f>
        <v>0</v>
      </c>
      <c r="M14" s="2">
        <f>IF(Q4=1,0,D14)</f>
        <v>0</v>
      </c>
    </row>
    <row r="15" spans="1:13" ht="12.75">
      <c r="A15" s="2"/>
      <c r="B15" s="2"/>
      <c r="C15" s="1">
        <f>C7</f>
        <v>51</v>
      </c>
      <c r="D15" s="1">
        <f>H5</f>
        <v>70</v>
      </c>
      <c r="K15" s="2"/>
      <c r="L15" s="2">
        <f>IF(Q4=1,0,C15)</f>
        <v>0</v>
      </c>
      <c r="M15" s="2">
        <f>IF(Q4=1,0,D15)</f>
        <v>0</v>
      </c>
    </row>
    <row r="16" spans="1:13" ht="12.75">
      <c r="A16" s="2"/>
      <c r="B16" s="1"/>
      <c r="C16" s="1">
        <f>C15</f>
        <v>51</v>
      </c>
      <c r="D16" s="1">
        <f>D11</f>
        <v>230</v>
      </c>
      <c r="E16" s="524"/>
      <c r="F16" s="2" t="s">
        <v>399</v>
      </c>
      <c r="H16" s="2">
        <f>Data!B88</f>
        <v>1</v>
      </c>
      <c r="K16" s="2"/>
      <c r="L16" s="2">
        <f>IF(Q4=1,0,C16)</f>
        <v>0</v>
      </c>
      <c r="M16" s="2">
        <f>IF(Q4=1,0,D16)</f>
        <v>0</v>
      </c>
    </row>
    <row r="17" spans="1:13" ht="12.75">
      <c r="A17" s="2"/>
      <c r="C17" s="1">
        <f>H9</f>
        <v>51</v>
      </c>
      <c r="D17" s="1">
        <f>D16</f>
        <v>230</v>
      </c>
      <c r="K17" s="2"/>
      <c r="L17" s="2">
        <f>IF(Q4=1,0,C17)</f>
        <v>0</v>
      </c>
      <c r="M17" s="2">
        <f>IF(Q4=1,0,D17)</f>
        <v>0</v>
      </c>
    </row>
    <row r="18" spans="1:13" ht="12.75">
      <c r="A18" s="2"/>
      <c r="B18" s="2"/>
      <c r="C18" s="598">
        <f>C17</f>
        <v>51</v>
      </c>
      <c r="D18" s="598">
        <f>H10</f>
        <v>300</v>
      </c>
      <c r="E18" s="210"/>
      <c r="F18" s="2" t="s">
        <v>406</v>
      </c>
      <c r="H18" s="2">
        <f>Data!G60</f>
        <v>60</v>
      </c>
      <c r="K18" s="2"/>
      <c r="L18" s="2">
        <f>IF(Q4=1,0,C18)</f>
        <v>0</v>
      </c>
      <c r="M18" s="2">
        <f>IF(Q4=1,0,D18)</f>
        <v>0</v>
      </c>
    </row>
    <row r="19" spans="1:13" ht="12.75">
      <c r="A19" s="2"/>
      <c r="B19" s="2"/>
      <c r="C19" s="1">
        <v>0</v>
      </c>
      <c r="D19" s="598">
        <f>H10</f>
        <v>300</v>
      </c>
      <c r="K19" s="2"/>
      <c r="L19" s="2">
        <f>IF(Q4=1,0,C19)</f>
        <v>0</v>
      </c>
      <c r="M19" s="2">
        <f>IF(Q4=1,0,D19)</f>
        <v>0</v>
      </c>
    </row>
    <row r="20" spans="1:13" ht="12.75">
      <c r="A20" s="2"/>
      <c r="C20" s="1">
        <v>0</v>
      </c>
      <c r="D20" s="1">
        <f>D11</f>
        <v>230</v>
      </c>
      <c r="F20" s="2" t="s">
        <v>412</v>
      </c>
      <c r="H20" s="2">
        <f>Data!P105</f>
        <v>60</v>
      </c>
      <c r="K20" s="2"/>
      <c r="L20" s="2">
        <f>IF(Q4=1,0,C20)</f>
        <v>0</v>
      </c>
      <c r="M20" s="2">
        <f>IF(Q4=1,0,D20)</f>
        <v>0</v>
      </c>
    </row>
    <row r="21" spans="1:13" ht="12.75">
      <c r="A21" s="2"/>
      <c r="B21" s="2"/>
      <c r="C21" s="1">
        <f>IF(F3=0,0,C10)</f>
        <v>0</v>
      </c>
      <c r="D21" s="1">
        <f>D20</f>
        <v>230</v>
      </c>
      <c r="K21" s="2"/>
      <c r="L21" s="2">
        <f>IF(Q4=1,0,C21)</f>
        <v>0</v>
      </c>
      <c r="M21" s="2">
        <f>IF(Q4=1,0,D21)</f>
        <v>0</v>
      </c>
    </row>
    <row r="22" spans="1:13" ht="12.75">
      <c r="A22" s="2"/>
      <c r="B22" s="2"/>
      <c r="C22" s="2">
        <f>C21</f>
        <v>0</v>
      </c>
      <c r="D22" s="2">
        <f>H5</f>
        <v>70</v>
      </c>
      <c r="F22" s="2" t="s">
        <v>413</v>
      </c>
      <c r="H22" s="2">
        <f>Data!B108</f>
        <v>3</v>
      </c>
      <c r="K22" s="2"/>
      <c r="L22" s="2">
        <f>IF(Q4=1,0,C22)</f>
        <v>0</v>
      </c>
      <c r="M22" s="2">
        <f>IF(Q4=1,0,D22)</f>
        <v>0</v>
      </c>
    </row>
    <row r="23" spans="1:13" ht="12.75">
      <c r="A23" s="2"/>
      <c r="B23" s="2"/>
      <c r="C23" s="1">
        <v>0</v>
      </c>
      <c r="D23" s="1">
        <f>H5</f>
        <v>70</v>
      </c>
      <c r="K23" s="2"/>
      <c r="L23" s="2">
        <f>IF(Q4=1,0,C23)</f>
        <v>0</v>
      </c>
      <c r="M23" s="2">
        <f>IF(Q4=1,0,D23)</f>
        <v>0</v>
      </c>
    </row>
    <row r="24" spans="1:13" ht="12.75">
      <c r="A24" s="2"/>
      <c r="B24" s="2"/>
      <c r="C24" s="602">
        <v>0</v>
      </c>
      <c r="D24" s="602">
        <v>0</v>
      </c>
      <c r="K24" s="2"/>
      <c r="L24" s="2">
        <f>IF(Q4=1,0,C24)</f>
        <v>0</v>
      </c>
      <c r="M24" s="2">
        <f>IF(Q4=1,0,D24)</f>
        <v>0</v>
      </c>
    </row>
    <row r="25" spans="1:13" ht="12.75">
      <c r="A25" s="2"/>
      <c r="B25" s="2"/>
      <c r="C25" s="1">
        <f>H9</f>
        <v>51</v>
      </c>
      <c r="D25" s="1">
        <f>IF(F3=0,H10,H5)</f>
        <v>300</v>
      </c>
      <c r="K25" s="2"/>
      <c r="L25" s="2">
        <f>IF(Q4=1,0,C25)</f>
        <v>0</v>
      </c>
      <c r="M25" s="2">
        <f>IF(Q4=1,0,D25)</f>
        <v>0</v>
      </c>
    </row>
    <row r="26" spans="1:13" ht="12.75">
      <c r="A26" s="2"/>
      <c r="B26" s="2"/>
      <c r="C26" s="1">
        <v>0</v>
      </c>
      <c r="D26" s="1">
        <f>IF(F3=0,H10,H5)</f>
        <v>300</v>
      </c>
      <c r="K26" s="2"/>
      <c r="L26" s="2">
        <f>IF(Q4=1,0,C26)</f>
        <v>0</v>
      </c>
      <c r="M26" s="2">
        <f>IF(Q4=1,0,D26)</f>
        <v>0</v>
      </c>
    </row>
    <row r="27" spans="1:13" ht="12.75">
      <c r="A27" s="2"/>
      <c r="B27" s="2"/>
      <c r="C27" s="1">
        <f>H9</f>
        <v>51</v>
      </c>
      <c r="D27" s="1">
        <v>0</v>
      </c>
      <c r="K27" s="2"/>
      <c r="L27" s="2">
        <f>IF(Q4=1,0,C27)</f>
        <v>0</v>
      </c>
      <c r="M27" s="2">
        <f>IF(Q4=1,0,D27)</f>
        <v>0</v>
      </c>
    </row>
    <row r="28" spans="1:13" ht="12.75">
      <c r="A28" s="2"/>
      <c r="B28" s="2"/>
      <c r="C28" s="1">
        <f>H9</f>
        <v>51</v>
      </c>
      <c r="D28" s="1">
        <f>IF(F3=0,0,D11)</f>
        <v>0</v>
      </c>
      <c r="K28" s="2"/>
      <c r="L28" s="2">
        <f>IF(Q4=1,0,C28)</f>
        <v>0</v>
      </c>
      <c r="M28" s="2">
        <f>IF(Q4=1,0,D28)</f>
        <v>0</v>
      </c>
    </row>
    <row r="29" spans="1:13" ht="12.75">
      <c r="A29" s="2"/>
      <c r="B29" s="2"/>
      <c r="C29" s="1">
        <v>0</v>
      </c>
      <c r="D29" s="1">
        <f>IF(F3=0,0,H10)</f>
        <v>0</v>
      </c>
      <c r="K29" s="2"/>
      <c r="L29" s="2">
        <f>IF(Q4=1,0,C29)</f>
        <v>0</v>
      </c>
      <c r="M29" s="2">
        <f>IF(Q4=1,0,D29)</f>
        <v>0</v>
      </c>
    </row>
    <row r="30" spans="1:13" ht="12.75">
      <c r="A30" s="2"/>
      <c r="C30" s="2">
        <f>H9</f>
        <v>51</v>
      </c>
      <c r="D30" s="2">
        <f>IF(F3=0,0,H10)</f>
        <v>0</v>
      </c>
      <c r="K30" s="2"/>
      <c r="L30" s="2">
        <f>IF(Q4=1,0,C30)</f>
        <v>0</v>
      </c>
      <c r="M30" s="2">
        <f>IF(Q4=1,0,D30)</f>
        <v>0</v>
      </c>
    </row>
    <row r="31" spans="1:13" ht="12.75">
      <c r="A31" s="2"/>
      <c r="B31" s="2"/>
      <c r="C31" s="5">
        <v>0</v>
      </c>
      <c r="D31" s="5">
        <f>IF(F3=0,0,D11)</f>
        <v>0</v>
      </c>
      <c r="K31" s="2"/>
      <c r="L31" s="5">
        <f>IF(Q4=1,0,C31)</f>
        <v>0</v>
      </c>
      <c r="M31" s="5">
        <f>IF(Q4=1,0,D31)</f>
        <v>0</v>
      </c>
    </row>
    <row r="32" spans="1:13" ht="12.75">
      <c r="A32" s="2"/>
      <c r="B32" s="2" t="s">
        <v>394</v>
      </c>
      <c r="C32" s="1">
        <f>IF(H16=1,0,C4+H9)</f>
        <v>0</v>
      </c>
      <c r="D32" s="1">
        <f>IF(H16=1,0,D4)</f>
        <v>0</v>
      </c>
      <c r="K32" s="2" t="s">
        <v>144</v>
      </c>
      <c r="L32" s="2">
        <v>0</v>
      </c>
      <c r="M32" s="2">
        <v>0</v>
      </c>
    </row>
    <row r="33" spans="1:13" ht="12.75">
      <c r="A33" s="2"/>
      <c r="B33" s="2"/>
      <c r="C33" s="1">
        <f>IF(H16=1,0,C5+H9)</f>
        <v>0</v>
      </c>
      <c r="D33" s="1">
        <f>IF(H16=1,0,D5)</f>
        <v>0</v>
      </c>
      <c r="K33" s="2"/>
      <c r="L33" s="2">
        <f>IF(Q4=1,0,-(Q6-H9)/2)</f>
        <v>0</v>
      </c>
      <c r="M33" s="2">
        <v>0</v>
      </c>
    </row>
    <row r="34" spans="1:13" ht="12.75">
      <c r="A34" s="2"/>
      <c r="B34" s="2"/>
      <c r="C34" s="1">
        <f>IF(H16=1,0,C6+H9)</f>
        <v>0</v>
      </c>
      <c r="D34" s="1">
        <f>IF(H16=1,0,D6)</f>
        <v>0</v>
      </c>
      <c r="K34" s="2"/>
      <c r="L34" s="2">
        <f>IF(Q4=1,0,L33)</f>
        <v>0</v>
      </c>
      <c r="M34" s="2">
        <f>IF(Q4=1,0,-Q7)</f>
        <v>0</v>
      </c>
    </row>
    <row r="35" spans="1:13" ht="12.75">
      <c r="A35" s="2"/>
      <c r="B35" s="2"/>
      <c r="C35" s="1">
        <f>IF(H16=1,0,C7+H9)</f>
        <v>0</v>
      </c>
      <c r="D35" s="1">
        <f>IF(H16=1,0,D7)</f>
        <v>0</v>
      </c>
      <c r="K35" s="2"/>
      <c r="L35" s="2">
        <f>IF(Q4=1,0,L34+Q6)</f>
        <v>0</v>
      </c>
      <c r="M35" s="2">
        <f>M34</f>
        <v>0</v>
      </c>
    </row>
    <row r="36" spans="1:13" ht="12.75">
      <c r="A36" s="2"/>
      <c r="B36" s="2"/>
      <c r="C36" s="1">
        <f>IF(H16=1,0,C8+H9)</f>
        <v>0</v>
      </c>
      <c r="D36" s="1">
        <f>IF(H16=1,0,D8)</f>
        <v>0</v>
      </c>
      <c r="K36" s="2"/>
      <c r="L36" s="2">
        <f>IF(Q4=1,0,L35)</f>
        <v>0</v>
      </c>
      <c r="M36" s="2">
        <v>0</v>
      </c>
    </row>
    <row r="37" spans="1:13" ht="12.75">
      <c r="A37" s="2"/>
      <c r="B37" s="2"/>
      <c r="C37" s="1">
        <f>IF(H16=1,0,C9+H9)</f>
        <v>0</v>
      </c>
      <c r="D37" s="1">
        <f>IF(H16=1,0,D9)</f>
        <v>0</v>
      </c>
      <c r="K37" s="2"/>
      <c r="L37" s="2">
        <f>L33</f>
        <v>0</v>
      </c>
      <c r="M37" s="2">
        <v>0</v>
      </c>
    </row>
    <row r="38" spans="1:13" ht="12.75">
      <c r="A38" s="2"/>
      <c r="C38" s="1">
        <f>IF(H16=1,0,C10+H9)</f>
        <v>0</v>
      </c>
      <c r="D38" s="1">
        <f>IF(H16=1,0,D10)</f>
        <v>0</v>
      </c>
      <c r="K38" s="2"/>
      <c r="L38" s="2">
        <f>L35</f>
        <v>0</v>
      </c>
      <c r="M38" s="2">
        <f>M34</f>
        <v>0</v>
      </c>
    </row>
    <row r="39" spans="1:13" ht="12.75">
      <c r="A39" s="2"/>
      <c r="B39" s="2"/>
      <c r="C39" s="1">
        <f>IF(H16=1,0,C11+H9)</f>
        <v>0</v>
      </c>
      <c r="D39" s="1">
        <f>IF(H16=1,0,D11)</f>
        <v>0</v>
      </c>
      <c r="K39" s="2"/>
      <c r="L39" s="2">
        <f>L33</f>
        <v>0</v>
      </c>
      <c r="M39" s="2">
        <f>M38</f>
        <v>0</v>
      </c>
    </row>
    <row r="40" spans="1:13" ht="12.75">
      <c r="A40" s="2"/>
      <c r="B40" s="2"/>
      <c r="C40" s="1">
        <f>IF(H16=1,0,C12+H9)</f>
        <v>0</v>
      </c>
      <c r="D40" s="1">
        <f>IF(H16=1,0,D12)</f>
        <v>0</v>
      </c>
      <c r="K40" s="2"/>
      <c r="L40" s="5">
        <f>L35</f>
        <v>0</v>
      </c>
      <c r="M40" s="5">
        <v>0</v>
      </c>
    </row>
    <row r="41" spans="1:13" ht="12.75">
      <c r="A41" s="2"/>
      <c r="B41" s="2"/>
      <c r="C41" s="1">
        <f>IF(H16=1,0,C13+H9)</f>
        <v>0</v>
      </c>
      <c r="D41" s="1">
        <f>IF(H16=1,0,D13)</f>
        <v>0</v>
      </c>
      <c r="K41" s="2" t="s">
        <v>416</v>
      </c>
      <c r="L41" s="2">
        <f>IF(H14=0,0,L33)</f>
        <v>0</v>
      </c>
      <c r="M41" s="2">
        <f>IF(H14=0,0,M33+H10+Q7)</f>
        <v>0</v>
      </c>
    </row>
    <row r="42" spans="1:13" ht="12.75">
      <c r="A42" s="2"/>
      <c r="B42" s="2"/>
      <c r="C42" s="1">
        <f>IF(H16=1,0,C14+H9)</f>
        <v>0</v>
      </c>
      <c r="D42" s="1">
        <f>IF(H16=1,0,D14)</f>
        <v>0</v>
      </c>
      <c r="K42" s="2"/>
      <c r="L42" s="2">
        <f>IF(H14=0,0,L34)</f>
        <v>0</v>
      </c>
      <c r="M42" s="2">
        <f>IF(H14=0,0,M34+H10+Q7)</f>
        <v>0</v>
      </c>
    </row>
    <row r="43" spans="1:13" ht="12.75">
      <c r="A43" s="2"/>
      <c r="B43" s="2"/>
      <c r="C43" s="1">
        <f>IF(H16=1,0,C15+H9)</f>
        <v>0</v>
      </c>
      <c r="D43" s="1">
        <f>IF(H16=1,0,D15)</f>
        <v>0</v>
      </c>
      <c r="K43" s="2"/>
      <c r="L43" s="2">
        <f>IF(H14=0,0,L35)</f>
        <v>0</v>
      </c>
      <c r="M43" s="2">
        <f>IF(H14=0,0,M35+H10+Q7)</f>
        <v>0</v>
      </c>
    </row>
    <row r="44" spans="1:13" ht="12.75">
      <c r="A44" s="2"/>
      <c r="B44" s="2"/>
      <c r="C44" s="1">
        <f>IF(H16=1,0,C16+H9)</f>
        <v>0</v>
      </c>
      <c r="D44" s="1">
        <f>IF(H16=1,0,D16)</f>
        <v>0</v>
      </c>
      <c r="K44" s="2"/>
      <c r="L44" s="2">
        <f>IF(H14=0,0,L36)</f>
        <v>0</v>
      </c>
      <c r="M44" s="2">
        <f>IF(H14=0,0,M36+H10+Q7)</f>
        <v>0</v>
      </c>
    </row>
    <row r="45" spans="1:13" ht="12.75">
      <c r="A45" s="2"/>
      <c r="B45" s="2"/>
      <c r="C45" s="1">
        <f>IF(H16=1,0,C17+H9)</f>
        <v>0</v>
      </c>
      <c r="D45" s="1">
        <f>IF(H16=1,0,D17)</f>
        <v>0</v>
      </c>
      <c r="K45" s="2"/>
      <c r="L45" s="2">
        <f>IF(H14=0,0,L37)</f>
        <v>0</v>
      </c>
      <c r="M45" s="2">
        <f>IF(H14=0,0,M37+H10+Q7)</f>
        <v>0</v>
      </c>
    </row>
    <row r="46" spans="1:13" ht="12.75">
      <c r="A46" s="2"/>
      <c r="B46" s="2"/>
      <c r="C46" s="1">
        <f>IF(H16=1,0,C18+H9)</f>
        <v>0</v>
      </c>
      <c r="D46" s="1">
        <f>IF(H16=1,0,D18)</f>
        <v>0</v>
      </c>
      <c r="K46" s="2"/>
      <c r="L46" s="2">
        <f>IF(H14=0,0,L38)</f>
        <v>0</v>
      </c>
      <c r="M46" s="2">
        <f>IF(H14=0,0,M38+H10+Q7)</f>
        <v>0</v>
      </c>
    </row>
    <row r="47" spans="1:13" ht="12.75">
      <c r="A47" s="2"/>
      <c r="B47" s="2"/>
      <c r="C47" s="1">
        <f>IF(H16=1,0,C19+H9)</f>
        <v>0</v>
      </c>
      <c r="D47" s="1">
        <f>IF(H16=1,0,D19)</f>
        <v>0</v>
      </c>
      <c r="K47" s="2"/>
      <c r="L47" s="2">
        <f>IF(H14=0,0,L39)</f>
        <v>0</v>
      </c>
      <c r="M47" s="2">
        <f>IF(H14=0,0,M39+H10+Q7)</f>
        <v>0</v>
      </c>
    </row>
    <row r="48" spans="1:13" ht="12.75">
      <c r="A48" s="2"/>
      <c r="B48" s="2"/>
      <c r="C48" s="1">
        <f>IF(H16=1,0,C20+H9)</f>
        <v>0</v>
      </c>
      <c r="D48" s="1">
        <f>IF(H16=1,0,D20)</f>
        <v>0</v>
      </c>
      <c r="K48" s="2"/>
      <c r="L48" s="5">
        <f>IF(H14=0,0,L40)</f>
        <v>0</v>
      </c>
      <c r="M48" s="5">
        <f>IF(H14=0,0,M40+H10+Q7)</f>
        <v>0</v>
      </c>
    </row>
    <row r="49" spans="1:13" ht="12.75">
      <c r="A49" s="2"/>
      <c r="B49" s="2"/>
      <c r="C49" s="1">
        <f>IF(H16=1,0,C21+H9)</f>
        <v>0</v>
      </c>
      <c r="D49" s="1">
        <f>IF(H16=1,0,D21)</f>
        <v>0</v>
      </c>
      <c r="K49" s="2" t="s">
        <v>51</v>
      </c>
      <c r="L49" s="2">
        <v>-150</v>
      </c>
      <c r="M49" s="2">
        <v>0</v>
      </c>
    </row>
    <row r="50" spans="1:13" ht="12.75">
      <c r="A50" s="2"/>
      <c r="C50" s="1">
        <f>IF(H16=1,0,C22+H9)</f>
        <v>0</v>
      </c>
      <c r="D50" s="1">
        <f>IF(H16=1,0,D22)</f>
        <v>0</v>
      </c>
      <c r="K50" s="2"/>
      <c r="L50" s="2">
        <f>150+H9</f>
        <v>201</v>
      </c>
      <c r="M50" s="2">
        <v>0</v>
      </c>
    </row>
    <row r="51" spans="1:13" ht="12.75">
      <c r="A51" s="2"/>
      <c r="B51" s="2"/>
      <c r="C51" s="1">
        <f>IF(H16=1,0,C23+H9)</f>
        <v>0</v>
      </c>
      <c r="D51" s="1">
        <f>IF(H16=1,0,D23)</f>
        <v>0</v>
      </c>
      <c r="K51" s="2"/>
      <c r="L51" s="2">
        <f>L50</f>
        <v>201</v>
      </c>
      <c r="M51" s="2">
        <f>H10</f>
        <v>300</v>
      </c>
    </row>
    <row r="52" spans="1:13" ht="12.75">
      <c r="A52" s="2"/>
      <c r="B52" s="2"/>
      <c r="C52" s="1">
        <f>IF(H16=1,0,C24+H9)</f>
        <v>0</v>
      </c>
      <c r="D52" s="1">
        <f>IF(H16=1,0,D24)</f>
        <v>0</v>
      </c>
      <c r="K52" s="2"/>
      <c r="L52" s="5">
        <f>L49</f>
        <v>-150</v>
      </c>
      <c r="M52" s="5">
        <f>M51</f>
        <v>300</v>
      </c>
    </row>
    <row r="53" spans="1:13" ht="12.75">
      <c r="A53" s="2"/>
      <c r="B53" s="2"/>
      <c r="C53" s="1">
        <f>IF(H16=1,0,C25+H9)</f>
        <v>0</v>
      </c>
      <c r="D53" s="1">
        <f>IF(H16=1,0,D25)</f>
        <v>0</v>
      </c>
      <c r="K53" s="2" t="s">
        <v>400</v>
      </c>
      <c r="L53" s="2">
        <v>180</v>
      </c>
      <c r="M53" s="2">
        <f>H10</f>
        <v>300</v>
      </c>
    </row>
    <row r="54" spans="1:13" ht="12.75">
      <c r="A54" s="2"/>
      <c r="B54" s="2"/>
      <c r="C54" s="1">
        <f>IF(H16=1,0,C26+H9)</f>
        <v>0</v>
      </c>
      <c r="D54" s="1">
        <f>IF(H16=1,0,D26)</f>
        <v>0</v>
      </c>
      <c r="K54" s="2"/>
      <c r="L54" s="2">
        <f>L53</f>
        <v>180</v>
      </c>
      <c r="M54" s="2">
        <f>M53+H14</f>
        <v>300</v>
      </c>
    </row>
    <row r="55" spans="1:13" ht="12.75">
      <c r="A55" s="2"/>
      <c r="B55" s="2"/>
      <c r="C55" s="1">
        <f>IF(H16=1,0,C27+H9)</f>
        <v>0</v>
      </c>
      <c r="D55" s="1">
        <f>IF(H16=1,0,D27)</f>
        <v>0</v>
      </c>
      <c r="K55" s="2"/>
      <c r="L55" s="2">
        <f>L53-H13</f>
        <v>180</v>
      </c>
      <c r="M55" s="2">
        <f>M54</f>
        <v>300</v>
      </c>
    </row>
    <row r="56" spans="1:13" ht="12.75">
      <c r="A56" s="8"/>
      <c r="B56" s="2"/>
      <c r="C56" s="1">
        <f>IF(H16=1,0,C28+H9)</f>
        <v>0</v>
      </c>
      <c r="D56" s="1">
        <f>IF(H16=1,0,D28)</f>
        <v>0</v>
      </c>
      <c r="K56" s="2"/>
      <c r="L56" s="2">
        <f>L55</f>
        <v>180</v>
      </c>
      <c r="M56" s="2">
        <f>M53</f>
        <v>300</v>
      </c>
    </row>
    <row r="57" spans="1:13" ht="12.75">
      <c r="A57" s="2"/>
      <c r="B57" s="2"/>
      <c r="C57" s="1">
        <f>IF(H16=1,0,C29+H9)</f>
        <v>0</v>
      </c>
      <c r="D57" s="1">
        <f>IF(H16=1,0,D29)</f>
        <v>0</v>
      </c>
      <c r="K57" s="2"/>
      <c r="L57" s="2">
        <f>L53</f>
        <v>180</v>
      </c>
      <c r="M57" s="2">
        <f>M54</f>
        <v>300</v>
      </c>
    </row>
    <row r="58" spans="1:13" ht="12.75">
      <c r="A58" s="2"/>
      <c r="B58" s="2"/>
      <c r="C58" s="1">
        <f>IF(H16=1,0,C30+H9)</f>
        <v>0</v>
      </c>
      <c r="D58" s="1">
        <f>IF(H16=1,0,D30)</f>
        <v>0</v>
      </c>
      <c r="K58" s="2"/>
      <c r="L58" s="2">
        <f>L55</f>
        <v>180</v>
      </c>
      <c r="M58" s="2">
        <f>M57</f>
        <v>300</v>
      </c>
    </row>
    <row r="59" spans="1:13" ht="12.75">
      <c r="A59" s="2"/>
      <c r="B59" s="2"/>
      <c r="C59" s="5">
        <f>IF(H16=1,0,C31+H9)</f>
        <v>0</v>
      </c>
      <c r="D59" s="5">
        <f>IF(H16=1,0,D31)</f>
        <v>0</v>
      </c>
      <c r="K59" s="2"/>
      <c r="L59" s="5">
        <f>L53</f>
        <v>180</v>
      </c>
      <c r="M59" s="5">
        <f>M53</f>
        <v>300</v>
      </c>
    </row>
    <row r="60" spans="1:13" ht="12.75">
      <c r="A60" s="2"/>
      <c r="B60" s="2" t="s">
        <v>395</v>
      </c>
      <c r="C60" s="1">
        <v>-150</v>
      </c>
      <c r="D60" s="1">
        <f>H10</f>
        <v>300</v>
      </c>
      <c r="K60" s="2" t="s">
        <v>50</v>
      </c>
      <c r="L60" s="2">
        <f>L50</f>
        <v>201</v>
      </c>
      <c r="M60" s="2">
        <f>M54</f>
        <v>300</v>
      </c>
    </row>
    <row r="61" spans="1:13" ht="12.75">
      <c r="A61" s="2"/>
      <c r="B61" s="2"/>
      <c r="C61" s="1">
        <f>IF(H16=1,150+(2*H9)-H9,150+(2*H9))</f>
        <v>201</v>
      </c>
      <c r="D61" s="1">
        <f>H10</f>
        <v>300</v>
      </c>
      <c r="K61" s="2"/>
      <c r="L61" s="2">
        <v>-150</v>
      </c>
      <c r="M61" s="2">
        <f>M60</f>
        <v>300</v>
      </c>
    </row>
    <row r="62" spans="1:13" ht="12.75">
      <c r="A62" s="2"/>
      <c r="B62" s="2"/>
      <c r="C62" s="1">
        <f>C61</f>
        <v>201</v>
      </c>
      <c r="D62" s="1">
        <f>H10+H14</f>
        <v>300</v>
      </c>
      <c r="K62" s="2"/>
      <c r="L62" s="2">
        <f>L61</f>
        <v>-150</v>
      </c>
      <c r="M62" s="2">
        <f>M61+H12</f>
        <v>318</v>
      </c>
    </row>
    <row r="63" spans="1:13" ht="12.75">
      <c r="A63" s="2"/>
      <c r="B63" s="2"/>
      <c r="C63" s="1">
        <f>C60</f>
        <v>-150</v>
      </c>
      <c r="D63" s="1">
        <f>D62</f>
        <v>300</v>
      </c>
      <c r="K63" s="2"/>
      <c r="L63" s="1">
        <f>L60</f>
        <v>201</v>
      </c>
      <c r="M63" s="1">
        <f>M62</f>
        <v>318</v>
      </c>
    </row>
    <row r="64" spans="1:17" ht="12.75">
      <c r="A64" s="2"/>
      <c r="B64" s="1"/>
      <c r="C64" s="1">
        <f>C60</f>
        <v>-150</v>
      </c>
      <c r="D64" s="1">
        <f>H10</f>
        <v>300</v>
      </c>
      <c r="L64" s="758">
        <f>L63</f>
        <v>201</v>
      </c>
      <c r="M64" s="758">
        <f>M61</f>
        <v>300</v>
      </c>
      <c r="O64" s="6" t="s">
        <v>403</v>
      </c>
      <c r="Q64" s="525">
        <f>ABS(L61)+L60</f>
        <v>351</v>
      </c>
    </row>
    <row r="65" spans="1:17" ht="12.75">
      <c r="A65" s="2"/>
      <c r="B65" s="2"/>
      <c r="C65" s="1">
        <f>C60</f>
        <v>-150</v>
      </c>
      <c r="D65" s="1">
        <f>D63+H12</f>
        <v>318</v>
      </c>
      <c r="K65" s="2" t="s">
        <v>401</v>
      </c>
      <c r="L65" s="2">
        <f>L60-Q66</f>
        <v>182.5263157894737</v>
      </c>
      <c r="M65" s="2">
        <f>M63</f>
        <v>318</v>
      </c>
      <c r="O65" s="598" t="s">
        <v>402</v>
      </c>
      <c r="Q65" s="525">
        <v>19</v>
      </c>
    </row>
    <row r="66" spans="1:17" ht="12.75">
      <c r="A66" s="2"/>
      <c r="B66" s="2"/>
      <c r="C66" s="1">
        <f>C61</f>
        <v>201</v>
      </c>
      <c r="D66" s="3">
        <f>D65</f>
        <v>318</v>
      </c>
      <c r="K66" s="2"/>
      <c r="L66" s="2">
        <f>L65</f>
        <v>182.5263157894737</v>
      </c>
      <c r="M66" s="2">
        <f aca="true" t="shared" si="0" ref="M66:M101">D69</f>
        <v>300</v>
      </c>
      <c r="O66" s="2" t="s">
        <v>404</v>
      </c>
      <c r="Q66" s="525">
        <f>Q64/Q65</f>
        <v>18.473684210526315</v>
      </c>
    </row>
    <row r="67" spans="1:13" ht="12.75">
      <c r="A67" s="2"/>
      <c r="B67" s="2"/>
      <c r="C67" s="602">
        <f>C66</f>
        <v>201</v>
      </c>
      <c r="D67" s="603">
        <f>D62</f>
        <v>300</v>
      </c>
      <c r="K67" s="2"/>
      <c r="L67" s="2">
        <f>L66-$Q$66</f>
        <v>164.0526315789474</v>
      </c>
      <c r="M67" s="2">
        <f t="shared" si="0"/>
        <v>318</v>
      </c>
    </row>
    <row r="68" spans="1:13" ht="12.75">
      <c r="A68" s="2"/>
      <c r="B68" s="2" t="s">
        <v>401</v>
      </c>
      <c r="C68" s="2">
        <f>C61-H70</f>
        <v>182.5263157894737</v>
      </c>
      <c r="D68" s="1">
        <f>D65</f>
        <v>318</v>
      </c>
      <c r="F68" s="6" t="s">
        <v>403</v>
      </c>
      <c r="H68" s="525">
        <f>ABS(C60)+C61</f>
        <v>351</v>
      </c>
      <c r="K68" s="2"/>
      <c r="L68" s="2">
        <f>L67</f>
        <v>164.0526315789474</v>
      </c>
      <c r="M68" s="2">
        <f t="shared" si="0"/>
        <v>300</v>
      </c>
    </row>
    <row r="69" spans="1:13" ht="12.75">
      <c r="A69" s="2"/>
      <c r="B69" s="2"/>
      <c r="C69" s="1">
        <f>C68</f>
        <v>182.5263157894737</v>
      </c>
      <c r="D69" s="1">
        <f>D62</f>
        <v>300</v>
      </c>
      <c r="F69" s="598" t="s">
        <v>402</v>
      </c>
      <c r="H69" s="525">
        <v>19</v>
      </c>
      <c r="K69" s="2"/>
      <c r="L69" s="2">
        <f>L68-$Q$66</f>
        <v>145.5789473684211</v>
      </c>
      <c r="M69" s="2">
        <f t="shared" si="0"/>
        <v>318</v>
      </c>
    </row>
    <row r="70" spans="1:13" ht="12.75">
      <c r="A70" s="2"/>
      <c r="B70" s="2"/>
      <c r="C70" s="1">
        <f>C69-H70</f>
        <v>164.0526315789474</v>
      </c>
      <c r="D70" s="1">
        <f>D68</f>
        <v>318</v>
      </c>
      <c r="F70" s="2" t="s">
        <v>404</v>
      </c>
      <c r="H70" s="525">
        <f>H68/H69</f>
        <v>18.473684210526315</v>
      </c>
      <c r="K70" s="2"/>
      <c r="L70" s="2">
        <f>L69</f>
        <v>145.5789473684211</v>
      </c>
      <c r="M70" s="2">
        <f t="shared" si="0"/>
        <v>300</v>
      </c>
    </row>
    <row r="71" spans="1:13" ht="12.75">
      <c r="A71" s="2"/>
      <c r="B71" s="2"/>
      <c r="C71" s="1">
        <f>C70</f>
        <v>164.0526315789474</v>
      </c>
      <c r="D71" s="1">
        <f>D69</f>
        <v>300</v>
      </c>
      <c r="K71" s="2"/>
      <c r="L71" s="2">
        <f>L70-$Q$66</f>
        <v>127.10526315789478</v>
      </c>
      <c r="M71" s="2">
        <f t="shared" si="0"/>
        <v>318</v>
      </c>
    </row>
    <row r="72" spans="1:13" ht="12.75">
      <c r="A72" s="2"/>
      <c r="B72" s="2"/>
      <c r="C72" s="1">
        <f>C71-H70</f>
        <v>145.5789473684211</v>
      </c>
      <c r="D72" s="1">
        <f>D70</f>
        <v>318</v>
      </c>
      <c r="K72" s="2"/>
      <c r="L72" s="2">
        <f>L71</f>
        <v>127.10526315789478</v>
      </c>
      <c r="M72" s="2">
        <f t="shared" si="0"/>
        <v>300</v>
      </c>
    </row>
    <row r="73" spans="1:13" ht="12.75">
      <c r="A73" s="2"/>
      <c r="B73" s="2"/>
      <c r="C73" s="1">
        <f>C72</f>
        <v>145.5789473684211</v>
      </c>
      <c r="D73" s="1">
        <f>D71</f>
        <v>300</v>
      </c>
      <c r="K73" s="2"/>
      <c r="L73" s="2">
        <f>L72-$Q$66</f>
        <v>108.63157894736847</v>
      </c>
      <c r="M73" s="2">
        <f t="shared" si="0"/>
        <v>318</v>
      </c>
    </row>
    <row r="74" spans="1:13" ht="12.75">
      <c r="A74" s="2"/>
      <c r="C74" s="1">
        <f>C73-H70</f>
        <v>127.10526315789478</v>
      </c>
      <c r="D74" s="1">
        <f>D72</f>
        <v>318</v>
      </c>
      <c r="K74" s="2"/>
      <c r="L74" s="2">
        <f>L73</f>
        <v>108.63157894736847</v>
      </c>
      <c r="M74" s="2">
        <f t="shared" si="0"/>
        <v>300</v>
      </c>
    </row>
    <row r="75" spans="3:13" ht="12.75">
      <c r="C75" s="1">
        <f>C74</f>
        <v>127.10526315789478</v>
      </c>
      <c r="D75" s="1">
        <f aca="true" t="shared" si="1" ref="D75:D104">D73</f>
        <v>300</v>
      </c>
      <c r="K75" s="2"/>
      <c r="L75" s="2">
        <f>L74-$Q$66</f>
        <v>90.15789473684215</v>
      </c>
      <c r="M75" s="2">
        <f t="shared" si="0"/>
        <v>318</v>
      </c>
    </row>
    <row r="76" spans="3:13" ht="12.75">
      <c r="C76" s="1">
        <f>C75-H70</f>
        <v>108.63157894736847</v>
      </c>
      <c r="D76" s="1">
        <f t="shared" si="1"/>
        <v>318</v>
      </c>
      <c r="K76" s="2"/>
      <c r="L76" s="2">
        <f>L75</f>
        <v>90.15789473684215</v>
      </c>
      <c r="M76" s="2">
        <f t="shared" si="0"/>
        <v>300</v>
      </c>
    </row>
    <row r="77" spans="3:13" ht="12.75">
      <c r="C77" s="1">
        <f>C76</f>
        <v>108.63157894736847</v>
      </c>
      <c r="D77" s="1">
        <f t="shared" si="1"/>
        <v>300</v>
      </c>
      <c r="K77" s="2"/>
      <c r="L77" s="2">
        <f>L76-$Q$66</f>
        <v>71.68421052631584</v>
      </c>
      <c r="M77" s="2">
        <f t="shared" si="0"/>
        <v>318</v>
      </c>
    </row>
    <row r="78" spans="3:13" ht="12.75">
      <c r="C78" s="1">
        <f>C77-H70</f>
        <v>90.15789473684215</v>
      </c>
      <c r="D78" s="1">
        <f t="shared" si="1"/>
        <v>318</v>
      </c>
      <c r="K78" s="2"/>
      <c r="L78" s="2">
        <f>L77</f>
        <v>71.68421052631584</v>
      </c>
      <c r="M78" s="2">
        <f t="shared" si="0"/>
        <v>300</v>
      </c>
    </row>
    <row r="79" spans="3:13" ht="12.75">
      <c r="C79" s="1">
        <f>C78</f>
        <v>90.15789473684215</v>
      </c>
      <c r="D79" s="1">
        <f t="shared" si="1"/>
        <v>300</v>
      </c>
      <c r="K79" s="2"/>
      <c r="L79" s="2">
        <f>L78-$Q$66</f>
        <v>53.21052631578952</v>
      </c>
      <c r="M79" s="2">
        <f t="shared" si="0"/>
        <v>318</v>
      </c>
    </row>
    <row r="80" spans="3:13" ht="12.75">
      <c r="C80" s="1">
        <f>C79-H70</f>
        <v>71.68421052631584</v>
      </c>
      <c r="D80" s="1">
        <f t="shared" si="1"/>
        <v>318</v>
      </c>
      <c r="K80" s="2"/>
      <c r="L80" s="2">
        <f>L79</f>
        <v>53.21052631578952</v>
      </c>
      <c r="M80" s="2">
        <f t="shared" si="0"/>
        <v>300</v>
      </c>
    </row>
    <row r="81" spans="3:13" ht="12.75">
      <c r="C81" s="2">
        <f>C80</f>
        <v>71.68421052631584</v>
      </c>
      <c r="D81" s="1">
        <f t="shared" si="1"/>
        <v>300</v>
      </c>
      <c r="K81" s="2"/>
      <c r="L81" s="2">
        <f>L80-$Q$66</f>
        <v>34.73684210526321</v>
      </c>
      <c r="M81" s="2">
        <f t="shared" si="0"/>
        <v>318</v>
      </c>
    </row>
    <row r="82" spans="3:13" ht="12.75">
      <c r="C82" s="2">
        <f>C81-H70</f>
        <v>53.21052631578952</v>
      </c>
      <c r="D82" s="1">
        <f t="shared" si="1"/>
        <v>318</v>
      </c>
      <c r="K82" s="2"/>
      <c r="L82" s="2">
        <f>L81</f>
        <v>34.73684210526321</v>
      </c>
      <c r="M82" s="2">
        <f t="shared" si="0"/>
        <v>300</v>
      </c>
    </row>
    <row r="83" spans="3:13" ht="12.75">
      <c r="C83" s="2">
        <f>C82</f>
        <v>53.21052631578952</v>
      </c>
      <c r="D83" s="1">
        <f t="shared" si="1"/>
        <v>300</v>
      </c>
      <c r="K83" s="2"/>
      <c r="L83" s="2">
        <f>L82-$Q$66</f>
        <v>16.263157894736892</v>
      </c>
      <c r="M83" s="2">
        <f t="shared" si="0"/>
        <v>318</v>
      </c>
    </row>
    <row r="84" spans="3:13" ht="12.75">
      <c r="C84" s="1">
        <f>C83-H70</f>
        <v>34.73684210526321</v>
      </c>
      <c r="D84" s="1">
        <f>D82</f>
        <v>318</v>
      </c>
      <c r="E84" s="524"/>
      <c r="K84" s="2"/>
      <c r="L84" s="2">
        <f>L83</f>
        <v>16.263157894736892</v>
      </c>
      <c r="M84" s="2">
        <f t="shared" si="0"/>
        <v>300</v>
      </c>
    </row>
    <row r="85" spans="3:13" ht="12.75">
      <c r="C85" s="1">
        <f>C84</f>
        <v>34.73684210526321</v>
      </c>
      <c r="D85" s="1">
        <f t="shared" si="1"/>
        <v>300</v>
      </c>
      <c r="E85" s="524"/>
      <c r="K85" s="2"/>
      <c r="L85" s="2">
        <f>L84-$Q$66</f>
        <v>-2.210526315789423</v>
      </c>
      <c r="M85" s="2">
        <f t="shared" si="0"/>
        <v>318</v>
      </c>
    </row>
    <row r="86" spans="3:13" ht="12.75">
      <c r="C86" s="1">
        <f>C85-H70</f>
        <v>16.263157894736892</v>
      </c>
      <c r="D86" s="1">
        <f t="shared" si="1"/>
        <v>318</v>
      </c>
      <c r="E86" s="524"/>
      <c r="K86" s="2"/>
      <c r="L86" s="2">
        <f>L85</f>
        <v>-2.210526315789423</v>
      </c>
      <c r="M86" s="2">
        <f t="shared" si="0"/>
        <v>300</v>
      </c>
    </row>
    <row r="87" spans="3:13" ht="12.75">
      <c r="C87" s="1">
        <f>C86</f>
        <v>16.263157894736892</v>
      </c>
      <c r="D87" s="1">
        <f t="shared" si="1"/>
        <v>300</v>
      </c>
      <c r="E87" s="524"/>
      <c r="K87" s="2"/>
      <c r="L87" s="2">
        <f>L86-$Q$66</f>
        <v>-20.684210526315738</v>
      </c>
      <c r="M87" s="2">
        <f t="shared" si="0"/>
        <v>318</v>
      </c>
    </row>
    <row r="88" spans="3:13" ht="12.75">
      <c r="C88" s="1">
        <f>C87-H70</f>
        <v>-2.210526315789423</v>
      </c>
      <c r="D88" s="1">
        <f t="shared" si="1"/>
        <v>318</v>
      </c>
      <c r="E88" s="524"/>
      <c r="K88" s="2"/>
      <c r="L88" s="2">
        <f>L87</f>
        <v>-20.684210526315738</v>
      </c>
      <c r="M88" s="2">
        <f t="shared" si="0"/>
        <v>300</v>
      </c>
    </row>
    <row r="89" spans="3:13" ht="12.75">
      <c r="C89" s="1">
        <f>C88</f>
        <v>-2.210526315789423</v>
      </c>
      <c r="D89" s="1">
        <f t="shared" si="1"/>
        <v>300</v>
      </c>
      <c r="E89" s="524"/>
      <c r="K89" s="2"/>
      <c r="L89" s="2">
        <f>L88-$Q$66</f>
        <v>-39.15789473684205</v>
      </c>
      <c r="M89" s="2">
        <f t="shared" si="0"/>
        <v>318</v>
      </c>
    </row>
    <row r="90" spans="3:13" ht="12.75">
      <c r="C90" s="1">
        <f>C89-H70</f>
        <v>-20.684210526315738</v>
      </c>
      <c r="D90" s="1">
        <f t="shared" si="1"/>
        <v>318</v>
      </c>
      <c r="E90" s="524"/>
      <c r="K90" s="2"/>
      <c r="L90" s="2">
        <f>L89</f>
        <v>-39.15789473684205</v>
      </c>
      <c r="M90" s="2">
        <f t="shared" si="0"/>
        <v>300</v>
      </c>
    </row>
    <row r="91" spans="3:13" ht="12.75">
      <c r="C91" s="1">
        <f>C90</f>
        <v>-20.684210526315738</v>
      </c>
      <c r="D91" s="1">
        <f t="shared" si="1"/>
        <v>300</v>
      </c>
      <c r="E91" s="524"/>
      <c r="K91" s="2"/>
      <c r="L91" s="2">
        <f>L90-$Q$66</f>
        <v>-57.63157894736837</v>
      </c>
      <c r="M91" s="2">
        <f t="shared" si="0"/>
        <v>318</v>
      </c>
    </row>
    <row r="92" spans="3:13" ht="12.75">
      <c r="C92" s="1">
        <f>C91-H70</f>
        <v>-39.15789473684205</v>
      </c>
      <c r="D92" s="1">
        <f t="shared" si="1"/>
        <v>318</v>
      </c>
      <c r="E92" s="524"/>
      <c r="K92" s="2"/>
      <c r="L92" s="2">
        <f>L91</f>
        <v>-57.63157894736837</v>
      </c>
      <c r="M92" s="2">
        <f t="shared" si="0"/>
        <v>300</v>
      </c>
    </row>
    <row r="93" spans="3:13" ht="12.75">
      <c r="C93" s="1">
        <f>C92</f>
        <v>-39.15789473684205</v>
      </c>
      <c r="D93" s="1">
        <f t="shared" si="1"/>
        <v>300</v>
      </c>
      <c r="E93" s="524"/>
      <c r="K93" s="2"/>
      <c r="L93" s="2">
        <f>L92-$Q$66</f>
        <v>-76.10526315789468</v>
      </c>
      <c r="M93" s="2">
        <f t="shared" si="0"/>
        <v>318</v>
      </c>
    </row>
    <row r="94" spans="3:13" ht="12.75">
      <c r="C94" s="1">
        <f>C93-H70</f>
        <v>-57.63157894736837</v>
      </c>
      <c r="D94" s="1">
        <f t="shared" si="1"/>
        <v>318</v>
      </c>
      <c r="E94" s="524"/>
      <c r="K94" s="2"/>
      <c r="L94" s="2">
        <f>L93</f>
        <v>-76.10526315789468</v>
      </c>
      <c r="M94" s="2">
        <f t="shared" si="0"/>
        <v>300</v>
      </c>
    </row>
    <row r="95" spans="3:13" ht="12.75">
      <c r="C95" s="1">
        <f>C94</f>
        <v>-57.63157894736837</v>
      </c>
      <c r="D95" s="1">
        <f t="shared" si="1"/>
        <v>300</v>
      </c>
      <c r="E95" s="524"/>
      <c r="K95" s="2"/>
      <c r="L95" s="2">
        <f>L94-$Q$66</f>
        <v>-94.578947368421</v>
      </c>
      <c r="M95" s="2">
        <f t="shared" si="0"/>
        <v>318</v>
      </c>
    </row>
    <row r="96" spans="3:13" ht="12.75">
      <c r="C96" s="1">
        <f>C95-H70</f>
        <v>-76.10526315789468</v>
      </c>
      <c r="D96" s="1">
        <f t="shared" si="1"/>
        <v>318</v>
      </c>
      <c r="E96" s="524"/>
      <c r="K96" s="2"/>
      <c r="L96" s="2">
        <f>L95</f>
        <v>-94.578947368421</v>
      </c>
      <c r="M96" s="2">
        <f t="shared" si="0"/>
        <v>300</v>
      </c>
    </row>
    <row r="97" spans="3:13" ht="12.75">
      <c r="C97" s="1">
        <f>C96</f>
        <v>-76.10526315789468</v>
      </c>
      <c r="D97" s="1">
        <f t="shared" si="1"/>
        <v>300</v>
      </c>
      <c r="E97" s="524"/>
      <c r="K97" s="2"/>
      <c r="L97" s="2">
        <f>L96-$Q$66</f>
        <v>-113.05263157894731</v>
      </c>
      <c r="M97" s="2">
        <f t="shared" si="0"/>
        <v>318</v>
      </c>
    </row>
    <row r="98" spans="3:13" ht="12.75">
      <c r="C98" s="1">
        <f>C97-H70</f>
        <v>-94.578947368421</v>
      </c>
      <c r="D98" s="1">
        <f t="shared" si="1"/>
        <v>318</v>
      </c>
      <c r="E98" s="524"/>
      <c r="K98" s="2"/>
      <c r="L98" s="2">
        <f>L97</f>
        <v>-113.05263157894731</v>
      </c>
      <c r="M98" s="2">
        <f t="shared" si="0"/>
        <v>300</v>
      </c>
    </row>
    <row r="99" spans="3:13" ht="12.75">
      <c r="C99" s="1">
        <f>C98</f>
        <v>-94.578947368421</v>
      </c>
      <c r="D99" s="1">
        <f t="shared" si="1"/>
        <v>300</v>
      </c>
      <c r="E99" s="524"/>
      <c r="K99" s="2"/>
      <c r="L99" s="2">
        <f>L98-$Q$66</f>
        <v>-131.52631578947364</v>
      </c>
      <c r="M99" s="2">
        <f t="shared" si="0"/>
        <v>318</v>
      </c>
    </row>
    <row r="100" spans="3:13" ht="12.75">
      <c r="C100" s="1">
        <f>C99-H70</f>
        <v>-113.05263157894731</v>
      </c>
      <c r="D100" s="1">
        <f t="shared" si="1"/>
        <v>318</v>
      </c>
      <c r="E100" s="524"/>
      <c r="K100" s="2"/>
      <c r="L100" s="2">
        <f>L99</f>
        <v>-131.52631578947364</v>
      </c>
      <c r="M100" s="2">
        <f t="shared" si="0"/>
        <v>300</v>
      </c>
    </row>
    <row r="101" spans="3:13" ht="12.75">
      <c r="C101" s="1">
        <f>C100</f>
        <v>-113.05263157894731</v>
      </c>
      <c r="D101" s="1">
        <f t="shared" si="1"/>
        <v>300</v>
      </c>
      <c r="E101" s="524"/>
      <c r="K101" s="1"/>
      <c r="L101" s="1">
        <f>L100-$Q$66</f>
        <v>-149.99999999999994</v>
      </c>
      <c r="M101" s="1">
        <f t="shared" si="0"/>
        <v>318</v>
      </c>
    </row>
    <row r="102" spans="3:13" ht="12.75">
      <c r="C102" s="1">
        <f>C101-H70</f>
        <v>-131.52631578947364</v>
      </c>
      <c r="D102" s="1">
        <f t="shared" si="1"/>
        <v>318</v>
      </c>
      <c r="E102" s="524"/>
      <c r="K102" s="1"/>
      <c r="L102" s="2">
        <f>L101</f>
        <v>-149.99999999999994</v>
      </c>
      <c r="M102" s="1">
        <f>M100</f>
        <v>300</v>
      </c>
    </row>
    <row r="103" spans="3:13" ht="12.75">
      <c r="C103" s="1">
        <f>C102</f>
        <v>-131.52631578947364</v>
      </c>
      <c r="D103" s="1">
        <f t="shared" si="1"/>
        <v>300</v>
      </c>
      <c r="E103" s="524"/>
      <c r="K103" s="1"/>
      <c r="L103" s="5">
        <f>L102</f>
        <v>-149.99999999999994</v>
      </c>
      <c r="M103" s="5">
        <f>M101</f>
        <v>318</v>
      </c>
    </row>
    <row r="104" spans="3:13" ht="12.75">
      <c r="C104" s="5">
        <f>C103-H70</f>
        <v>-149.99999999999994</v>
      </c>
      <c r="D104" s="5">
        <f t="shared" si="1"/>
        <v>318</v>
      </c>
      <c r="E104" s="524"/>
      <c r="K104" s="2" t="s">
        <v>405</v>
      </c>
      <c r="L104" s="2">
        <f>IF(H18=0,0,-150)</f>
        <v>-150</v>
      </c>
      <c r="M104" s="2">
        <f>IF(H18=0,0,D68+H18)</f>
        <v>378</v>
      </c>
    </row>
    <row r="105" spans="2:13" ht="12.75">
      <c r="B105" s="2" t="s">
        <v>405</v>
      </c>
      <c r="C105" s="2">
        <f>IF(H18=0,0,C60)</f>
        <v>-150</v>
      </c>
      <c r="D105" s="1">
        <f>IF(H18=0,0,D68+H18)</f>
        <v>378</v>
      </c>
      <c r="K105" s="2"/>
      <c r="L105" s="1">
        <f>IF(H18=0,0,L50)</f>
        <v>201</v>
      </c>
      <c r="M105" s="2">
        <f>M104</f>
        <v>378</v>
      </c>
    </row>
    <row r="106" spans="3:17" ht="12.75">
      <c r="C106" s="2">
        <f>IF(H18=0,0,C61)</f>
        <v>201</v>
      </c>
      <c r="D106" s="1">
        <f>D105</f>
        <v>378</v>
      </c>
      <c r="K106" s="2"/>
      <c r="L106" s="602">
        <f>L105</f>
        <v>201</v>
      </c>
      <c r="M106" s="602">
        <f>IF(H18=0,0,M65)</f>
        <v>318</v>
      </c>
      <c r="O106" s="6" t="s">
        <v>403</v>
      </c>
      <c r="Q106" s="525">
        <f>Q64</f>
        <v>351</v>
      </c>
    </row>
    <row r="107" spans="3:17" ht="12.75">
      <c r="C107" s="602">
        <f>C106</f>
        <v>201</v>
      </c>
      <c r="D107" s="602">
        <f>IF(H18=0,0,D68)</f>
        <v>318</v>
      </c>
      <c r="K107" s="2"/>
      <c r="L107" s="2">
        <f>IF(H18=0,0,L105-Q108)</f>
        <v>150.85714285714286</v>
      </c>
      <c r="M107" s="2">
        <f aca="true" t="shared" si="2" ref="M107:M134">D108</f>
        <v>378</v>
      </c>
      <c r="O107" s="598" t="s">
        <v>402</v>
      </c>
      <c r="Q107" s="525">
        <v>7</v>
      </c>
    </row>
    <row r="108" spans="3:17" ht="12.75">
      <c r="C108" s="2">
        <f>IF(H18=0,0,C106-H110)</f>
        <v>150.85714285714286</v>
      </c>
      <c r="D108" s="1">
        <f>D105</f>
        <v>378</v>
      </c>
      <c r="F108" s="6" t="s">
        <v>403</v>
      </c>
      <c r="H108" s="525">
        <f>H68</f>
        <v>351</v>
      </c>
      <c r="K108" s="2"/>
      <c r="L108" s="1">
        <f>L107</f>
        <v>150.85714285714286</v>
      </c>
      <c r="M108" s="2">
        <f t="shared" si="2"/>
        <v>318</v>
      </c>
      <c r="O108" s="2" t="s">
        <v>404</v>
      </c>
      <c r="Q108" s="525">
        <f>Q106/Q107</f>
        <v>50.142857142857146</v>
      </c>
    </row>
    <row r="109" spans="2:13" ht="12.75">
      <c r="B109" s="211"/>
      <c r="C109" s="1">
        <f>C108</f>
        <v>150.85714285714286</v>
      </c>
      <c r="D109" s="1">
        <f>D107</f>
        <v>318</v>
      </c>
      <c r="F109" s="598" t="s">
        <v>402</v>
      </c>
      <c r="H109" s="525">
        <v>7</v>
      </c>
      <c r="K109" s="2"/>
      <c r="L109" s="1">
        <f>IF(H18=0,0,L107-$Q$108)</f>
        <v>100.71428571428572</v>
      </c>
      <c r="M109" s="2">
        <f t="shared" si="2"/>
        <v>378</v>
      </c>
    </row>
    <row r="110" spans="2:13" ht="12.75">
      <c r="B110" s="211"/>
      <c r="C110" s="1">
        <f>IF(H18=0,0,C108-H110)</f>
        <v>100.71428571428572</v>
      </c>
      <c r="D110" s="1">
        <f>D108</f>
        <v>378</v>
      </c>
      <c r="F110" s="2" t="s">
        <v>404</v>
      </c>
      <c r="H110" s="525">
        <f>H108/H109</f>
        <v>50.142857142857146</v>
      </c>
      <c r="K110" s="2"/>
      <c r="L110" s="2">
        <f>L109</f>
        <v>100.71428571428572</v>
      </c>
      <c r="M110" s="2">
        <f t="shared" si="2"/>
        <v>318</v>
      </c>
    </row>
    <row r="111" spans="2:13" ht="12.75">
      <c r="B111" s="211"/>
      <c r="C111" s="1">
        <f>IF(H18=0,0,C110)</f>
        <v>100.71428571428572</v>
      </c>
      <c r="D111" s="1">
        <f>D109</f>
        <v>318</v>
      </c>
      <c r="K111" s="2"/>
      <c r="L111" s="1">
        <f>IF(H18=0,0,L109-$Q$108)</f>
        <v>50.57142857142858</v>
      </c>
      <c r="M111" s="2">
        <f t="shared" si="2"/>
        <v>378</v>
      </c>
    </row>
    <row r="112" spans="2:13" ht="12.75">
      <c r="B112" s="211"/>
      <c r="C112" s="1">
        <f>IF(H18=0,0,C110-H110)</f>
        <v>50.57142857142858</v>
      </c>
      <c r="D112" s="1">
        <f aca="true" t="shared" si="3" ref="D112:D135">D110</f>
        <v>378</v>
      </c>
      <c r="K112" s="2"/>
      <c r="L112" s="2">
        <f>L111</f>
        <v>50.57142857142858</v>
      </c>
      <c r="M112" s="2">
        <f t="shared" si="2"/>
        <v>318</v>
      </c>
    </row>
    <row r="113" spans="2:13" ht="12.75">
      <c r="B113" s="211"/>
      <c r="C113" s="1">
        <f>C112</f>
        <v>50.57142857142858</v>
      </c>
      <c r="D113" s="1">
        <f t="shared" si="3"/>
        <v>318</v>
      </c>
      <c r="K113" s="2"/>
      <c r="L113" s="1">
        <f>IF(H18=0,0,L111-$Q$108)</f>
        <v>0.4285714285714306</v>
      </c>
      <c r="M113" s="2">
        <f t="shared" si="2"/>
        <v>378</v>
      </c>
    </row>
    <row r="114" spans="2:13" ht="12.75">
      <c r="B114" s="211"/>
      <c r="C114" s="1">
        <f>IF(H18=0,0,C112-H110)</f>
        <v>0.4285714285714306</v>
      </c>
      <c r="D114" s="1">
        <f t="shared" si="3"/>
        <v>378</v>
      </c>
      <c r="K114" s="2"/>
      <c r="L114" s="2">
        <f>L113</f>
        <v>0.4285714285714306</v>
      </c>
      <c r="M114" s="2">
        <f t="shared" si="2"/>
        <v>318</v>
      </c>
    </row>
    <row r="115" spans="2:13" ht="12.75">
      <c r="B115" s="211"/>
      <c r="C115" s="1">
        <f>C114</f>
        <v>0.4285714285714306</v>
      </c>
      <c r="D115" s="1">
        <f t="shared" si="3"/>
        <v>318</v>
      </c>
      <c r="K115" s="2"/>
      <c r="L115" s="1">
        <f>IF(H18=0,0,L113-$Q$108)</f>
        <v>-49.714285714285715</v>
      </c>
      <c r="M115" s="2">
        <f t="shared" si="2"/>
        <v>378</v>
      </c>
    </row>
    <row r="116" spans="2:13" ht="12.75">
      <c r="B116" s="211"/>
      <c r="C116" s="1">
        <f>IF(H18=0,0,C114-H110)</f>
        <v>-49.714285714285715</v>
      </c>
      <c r="D116" s="1">
        <f t="shared" si="3"/>
        <v>378</v>
      </c>
      <c r="K116" s="2"/>
      <c r="L116" s="2">
        <f>L115</f>
        <v>-49.714285714285715</v>
      </c>
      <c r="M116" s="2">
        <f t="shared" si="2"/>
        <v>318</v>
      </c>
    </row>
    <row r="117" spans="2:13" ht="12.75">
      <c r="B117" s="211"/>
      <c r="C117" s="1">
        <f>C116</f>
        <v>-49.714285714285715</v>
      </c>
      <c r="D117" s="1">
        <f t="shared" si="3"/>
        <v>318</v>
      </c>
      <c r="K117" s="2"/>
      <c r="L117" s="1">
        <f>IF(H18=0,0,L115-$Q$108)</f>
        <v>-99.85714285714286</v>
      </c>
      <c r="M117" s="2">
        <f t="shared" si="2"/>
        <v>378</v>
      </c>
    </row>
    <row r="118" spans="2:13" ht="12.75">
      <c r="B118" s="211"/>
      <c r="C118" s="1">
        <f>IF(H18=0,0,C116-H110)</f>
        <v>-99.85714285714286</v>
      </c>
      <c r="D118" s="1">
        <f t="shared" si="3"/>
        <v>378</v>
      </c>
      <c r="K118" s="2"/>
      <c r="L118" s="2">
        <f>L117</f>
        <v>-99.85714285714286</v>
      </c>
      <c r="M118" s="2">
        <f t="shared" si="2"/>
        <v>318</v>
      </c>
    </row>
    <row r="119" spans="2:13" ht="12.75">
      <c r="B119" s="211"/>
      <c r="C119" s="1">
        <f>C118</f>
        <v>-99.85714285714286</v>
      </c>
      <c r="D119" s="1">
        <f t="shared" si="3"/>
        <v>318</v>
      </c>
      <c r="K119" s="2"/>
      <c r="L119" s="1">
        <f>IF(H18=0,0,L117-$Q$108)</f>
        <v>-150</v>
      </c>
      <c r="M119" s="2">
        <f t="shared" si="2"/>
        <v>378</v>
      </c>
    </row>
    <row r="120" spans="2:13" ht="12.75">
      <c r="B120" s="211"/>
      <c r="C120" s="1">
        <f>IF(H18=0,0,C118-H110)</f>
        <v>-150</v>
      </c>
      <c r="D120" s="1">
        <f t="shared" si="3"/>
        <v>378</v>
      </c>
      <c r="K120" s="2"/>
      <c r="L120" s="2">
        <f>L119</f>
        <v>-150</v>
      </c>
      <c r="M120" s="2">
        <f t="shared" si="2"/>
        <v>318</v>
      </c>
    </row>
    <row r="121" spans="2:13" ht="12.75">
      <c r="B121" s="211"/>
      <c r="C121" s="2">
        <f>C120</f>
        <v>-150</v>
      </c>
      <c r="D121" s="1">
        <f t="shared" si="3"/>
        <v>318</v>
      </c>
      <c r="K121" s="2"/>
      <c r="L121" s="1">
        <f>IF(H18=0,0,L119+$Q$108)</f>
        <v>-99.85714285714286</v>
      </c>
      <c r="M121" s="2">
        <f t="shared" si="2"/>
        <v>378</v>
      </c>
    </row>
    <row r="122" spans="2:13" ht="12.75">
      <c r="B122" s="211"/>
      <c r="C122" s="2">
        <f>IF(H18=0,0,C120+H110)</f>
        <v>-99.85714285714286</v>
      </c>
      <c r="D122" s="1">
        <f t="shared" si="3"/>
        <v>378</v>
      </c>
      <c r="K122" s="2"/>
      <c r="L122" s="2">
        <f aca="true" t="shared" si="4" ref="L122:L134">L121</f>
        <v>-99.85714285714286</v>
      </c>
      <c r="M122" s="2">
        <f t="shared" si="2"/>
        <v>318</v>
      </c>
    </row>
    <row r="123" spans="2:13" ht="12.75">
      <c r="B123" s="211"/>
      <c r="C123" s="2">
        <f>IF(H18=0,0,C122)</f>
        <v>-99.85714285714286</v>
      </c>
      <c r="D123" s="1">
        <f t="shared" si="3"/>
        <v>318</v>
      </c>
      <c r="K123" s="2"/>
      <c r="L123" s="1">
        <f>IF(H18=0,0,L121+$Q$108)</f>
        <v>-49.714285714285715</v>
      </c>
      <c r="M123" s="2">
        <f t="shared" si="2"/>
        <v>378</v>
      </c>
    </row>
    <row r="124" spans="2:13" ht="12.75">
      <c r="B124" s="211"/>
      <c r="C124" s="1">
        <f>IF(H18=0,0,C122+H110)</f>
        <v>-49.714285714285715</v>
      </c>
      <c r="D124" s="1">
        <f t="shared" si="3"/>
        <v>378</v>
      </c>
      <c r="K124" s="2"/>
      <c r="L124" s="2">
        <f t="shared" si="4"/>
        <v>-49.714285714285715</v>
      </c>
      <c r="M124" s="2">
        <f t="shared" si="2"/>
        <v>318</v>
      </c>
    </row>
    <row r="125" spans="2:13" ht="12.75">
      <c r="B125" s="211"/>
      <c r="C125" s="2">
        <f>C124</f>
        <v>-49.714285714285715</v>
      </c>
      <c r="D125" s="1">
        <f t="shared" si="3"/>
        <v>318</v>
      </c>
      <c r="K125" s="2"/>
      <c r="L125" s="1">
        <f>IF(H18=0,0,L123+$Q$108)</f>
        <v>0.4285714285714306</v>
      </c>
      <c r="M125" s="2">
        <f t="shared" si="2"/>
        <v>378</v>
      </c>
    </row>
    <row r="126" spans="2:13" ht="12.75">
      <c r="B126" s="211"/>
      <c r="C126" s="2">
        <f>IF(H18=0,0,C124+H110)</f>
        <v>0.4285714285714306</v>
      </c>
      <c r="D126" s="1">
        <f t="shared" si="3"/>
        <v>378</v>
      </c>
      <c r="K126" s="2"/>
      <c r="L126" s="2">
        <f t="shared" si="4"/>
        <v>0.4285714285714306</v>
      </c>
      <c r="M126" s="2">
        <f t="shared" si="2"/>
        <v>318</v>
      </c>
    </row>
    <row r="127" spans="2:13" ht="12.75">
      <c r="B127" s="211"/>
      <c r="C127" s="2">
        <f>C126</f>
        <v>0.4285714285714306</v>
      </c>
      <c r="D127" s="1">
        <f t="shared" si="3"/>
        <v>318</v>
      </c>
      <c r="K127" s="2"/>
      <c r="L127" s="1">
        <f>IF(H18=0,0,L125+$Q$108)</f>
        <v>50.57142857142858</v>
      </c>
      <c r="M127" s="2">
        <f t="shared" si="2"/>
        <v>378</v>
      </c>
    </row>
    <row r="128" spans="2:13" ht="12.75">
      <c r="B128" s="211"/>
      <c r="C128" s="2">
        <f>IF(H18=0,0,C126+H110)</f>
        <v>50.57142857142858</v>
      </c>
      <c r="D128" s="1">
        <f t="shared" si="3"/>
        <v>378</v>
      </c>
      <c r="K128" s="2"/>
      <c r="L128" s="2">
        <f t="shared" si="4"/>
        <v>50.57142857142858</v>
      </c>
      <c r="M128" s="2">
        <f t="shared" si="2"/>
        <v>318</v>
      </c>
    </row>
    <row r="129" spans="2:13" ht="12.75">
      <c r="B129" s="211"/>
      <c r="C129" s="2">
        <f>C128</f>
        <v>50.57142857142858</v>
      </c>
      <c r="D129" s="1">
        <f t="shared" si="3"/>
        <v>318</v>
      </c>
      <c r="K129" s="2"/>
      <c r="L129" s="1">
        <f>IF(H18=0,0,L127+$Q$108)</f>
        <v>100.71428571428572</v>
      </c>
      <c r="M129" s="2">
        <f t="shared" si="2"/>
        <v>378</v>
      </c>
    </row>
    <row r="130" spans="2:13" ht="12.75">
      <c r="B130" s="211"/>
      <c r="C130" s="2">
        <f>IF(H18=0,0,C128+H110)</f>
        <v>100.71428571428572</v>
      </c>
      <c r="D130" s="1">
        <f t="shared" si="3"/>
        <v>378</v>
      </c>
      <c r="K130" s="2"/>
      <c r="L130" s="2">
        <f t="shared" si="4"/>
        <v>100.71428571428572</v>
      </c>
      <c r="M130" s="2">
        <f t="shared" si="2"/>
        <v>318</v>
      </c>
    </row>
    <row r="131" spans="2:13" ht="12.75">
      <c r="B131" s="211"/>
      <c r="C131" s="2">
        <f>C130</f>
        <v>100.71428571428572</v>
      </c>
      <c r="D131" s="1">
        <f t="shared" si="3"/>
        <v>318</v>
      </c>
      <c r="K131" s="2"/>
      <c r="L131" s="1">
        <f>IF(H18=0,0,L129+$Q$108)</f>
        <v>150.85714285714286</v>
      </c>
      <c r="M131" s="2">
        <f t="shared" si="2"/>
        <v>378</v>
      </c>
    </row>
    <row r="132" spans="2:13" ht="12.75">
      <c r="B132" s="211"/>
      <c r="C132" s="2">
        <f>IF(H18=0,0,C130+H110)</f>
        <v>150.85714285714286</v>
      </c>
      <c r="D132" s="1">
        <f t="shared" si="3"/>
        <v>378</v>
      </c>
      <c r="K132" s="2"/>
      <c r="L132" s="2">
        <f t="shared" si="4"/>
        <v>150.85714285714286</v>
      </c>
      <c r="M132" s="2">
        <f t="shared" si="2"/>
        <v>318</v>
      </c>
    </row>
    <row r="133" spans="2:13" ht="12.75">
      <c r="B133" s="211"/>
      <c r="C133" s="2">
        <f>C132</f>
        <v>150.85714285714286</v>
      </c>
      <c r="D133" s="1">
        <f t="shared" si="3"/>
        <v>318</v>
      </c>
      <c r="K133" s="2"/>
      <c r="L133" s="1">
        <f>IF(H18=0,0,L131+$Q$108)</f>
        <v>201</v>
      </c>
      <c r="M133" s="2">
        <f t="shared" si="2"/>
        <v>378</v>
      </c>
    </row>
    <row r="134" spans="2:13" ht="12.75">
      <c r="B134" s="211"/>
      <c r="C134" s="2">
        <f>IF(H18=0,0,C132+H110)</f>
        <v>201</v>
      </c>
      <c r="D134" s="1">
        <f t="shared" si="3"/>
        <v>378</v>
      </c>
      <c r="K134" s="2"/>
      <c r="L134" s="5">
        <f t="shared" si="4"/>
        <v>201</v>
      </c>
      <c r="M134" s="5">
        <f t="shared" si="2"/>
        <v>318</v>
      </c>
    </row>
    <row r="135" spans="2:13" ht="12.75">
      <c r="B135" s="211"/>
      <c r="C135" s="5">
        <f>C134</f>
        <v>201</v>
      </c>
      <c r="D135" s="5">
        <f t="shared" si="3"/>
        <v>318</v>
      </c>
      <c r="K135" s="604" t="s">
        <v>419</v>
      </c>
      <c r="L135" s="2">
        <v>-150</v>
      </c>
      <c r="M135" s="2">
        <v>0</v>
      </c>
    </row>
    <row r="136" spans="2:13" ht="12.75">
      <c r="B136" s="604" t="s">
        <v>411</v>
      </c>
      <c r="C136" s="2">
        <f>IF(OR(Data!C108="Ei liittorakennetta",Data!C108="Liittorakenne palkin kanssa (liimaliitos)"),0,(H9/2)-8.5)</f>
        <v>0</v>
      </c>
      <c r="D136" s="1">
        <f>IF(OR(Data!C108="Ei liittorakennetta",Data!C108="Liittorakenne palkin kanssa (liimaliitos)"),0,D65)</f>
        <v>0</v>
      </c>
      <c r="K136" s="2"/>
      <c r="L136" s="1">
        <f>L135</f>
        <v>-150</v>
      </c>
      <c r="M136" s="1">
        <f>MAX(M65,M107)</f>
        <v>378</v>
      </c>
    </row>
    <row r="137" spans="2:13" ht="12.75">
      <c r="B137" s="211"/>
      <c r="C137" s="2">
        <f>IF(OR(Data!C108="Ei liittorakennetta",Data!C108="Liittorakenne palkin kanssa (liimaliitos)"),0,C136+16)</f>
        <v>0</v>
      </c>
      <c r="D137" s="3">
        <f>D136</f>
        <v>0</v>
      </c>
      <c r="L137" s="1">
        <f>L60</f>
        <v>201</v>
      </c>
      <c r="M137" s="1">
        <f>M136</f>
        <v>378</v>
      </c>
    </row>
    <row r="138" spans="2:13" ht="12.75">
      <c r="B138" s="211"/>
      <c r="C138" s="2">
        <f>IF(OR(Data!C108="Ei liittorakennetta",Data!C108="Liittorakenne palkin kanssa (liimaliitos)"),0,H9/2)</f>
        <v>0</v>
      </c>
      <c r="D138" s="2">
        <f>D136</f>
        <v>0</v>
      </c>
      <c r="L138" s="5">
        <f>L137</f>
        <v>201</v>
      </c>
      <c r="M138" s="5">
        <v>0</v>
      </c>
    </row>
    <row r="139" spans="2:13" ht="12.75">
      <c r="B139" s="211"/>
      <c r="C139" s="5">
        <f>C138</f>
        <v>0</v>
      </c>
      <c r="D139" s="5">
        <f>IF(OR(Data!C108="Ei liittorakennetta",Data!C108="Liittorakenne palkin kanssa (liimaliitos)"),0,D136-H20)</f>
        <v>0</v>
      </c>
      <c r="K139" s="604" t="s">
        <v>415</v>
      </c>
      <c r="L139" s="2">
        <f>IF(Q4=1,0,L49)</f>
        <v>0</v>
      </c>
      <c r="M139" s="2">
        <f>IF(Q4=1,0,IF(M41=0,(M51/2)+Data!D247,(M51/2)))</f>
        <v>0</v>
      </c>
    </row>
    <row r="140" spans="2:13" ht="12.75">
      <c r="B140" s="211"/>
      <c r="C140" s="1">
        <f>IF(C32=0,0,IF(OR(Data!C108="Ei liittorakennetta",Data!C108="Liittorakenne palkin kanssa (liimaliitos)"),0,C136+H9))</f>
        <v>0</v>
      </c>
      <c r="D140" s="1">
        <f>IF(C32=0,0,IF(OR(Data!C108="Ei liittorakennetta",Data!C108="Liittorakenne palkin kanssa (liimaliitos)"),0,D136))</f>
        <v>0</v>
      </c>
      <c r="L140" s="5">
        <f>IF(Q4=1,0,L50)</f>
        <v>0</v>
      </c>
      <c r="M140" s="5">
        <f>M139</f>
        <v>0</v>
      </c>
    </row>
    <row r="141" spans="2:13" ht="12.75">
      <c r="B141" s="211"/>
      <c r="C141" s="1">
        <f>IF(C32=0,0,IF(OR(Data!C108="Ei liittorakennetta",Data!C108="Liittorakenne palkin kanssa (liimaliitos)"),0,C137+H9))</f>
        <v>0</v>
      </c>
      <c r="D141" s="1">
        <f>IF(C32=0,0,IF(OR(Data!C108="Ei liittorakennetta",Data!C108="Liittorakenne palkin kanssa (liimaliitos)"),0,D137))</f>
        <v>0</v>
      </c>
      <c r="M141" s="2"/>
    </row>
    <row r="142" spans="2:13" ht="12.75">
      <c r="B142" s="211"/>
      <c r="C142" s="1">
        <f>IF(C32=0,0,IF(OR(Data!C108="Ei liittorakennetta",Data!C108="Liittorakenne palkin kanssa (liimaliitos)"),0,C138+H9))</f>
        <v>0</v>
      </c>
      <c r="D142" s="1">
        <f>IF(C32=0,0,IF(OR(Data!C108="Ei liittorakennetta",Data!C108="Liittorakenne palkin kanssa (liimaliitos)"),0,D138))</f>
        <v>0</v>
      </c>
      <c r="M142" s="2"/>
    </row>
    <row r="143" spans="2:13" ht="12.75">
      <c r="B143" s="211"/>
      <c r="C143" s="5">
        <f>IF(C32=0,0,IF(OR(Data!C108="Ei liittorakennetta",Data!C108="Liittorakenne palkin kanssa (liimaliitos)"),0,C139+H9))</f>
        <v>0</v>
      </c>
      <c r="D143" s="5">
        <f>IF(C32=0,0,IF(OR(Data!C108="Ei liittorakennetta",Data!C108="Liittorakenne palkin kanssa (liimaliitos)"),0,D139))</f>
        <v>0</v>
      </c>
      <c r="M143" s="2"/>
    </row>
    <row r="144" spans="2:13" ht="12.75">
      <c r="B144" s="604" t="s">
        <v>414</v>
      </c>
      <c r="C144" s="2">
        <v>0</v>
      </c>
      <c r="D144" s="1">
        <f>IF(Data!C108="Liittorakenne palkin kanssa (liimaliitos)",H10,0)</f>
        <v>300</v>
      </c>
      <c r="M144" s="2"/>
    </row>
    <row r="145" spans="2:13" ht="12.75">
      <c r="B145" s="211"/>
      <c r="C145" s="5">
        <f>IF(Data!C108="Liittorakenne palkin kanssa (liimaliitos)",C5+C32,0)</f>
        <v>51</v>
      </c>
      <c r="D145" s="5">
        <f>D144</f>
        <v>300</v>
      </c>
      <c r="M145" s="2"/>
    </row>
    <row r="146" spans="2:13" ht="12.75">
      <c r="B146" s="604" t="s">
        <v>415</v>
      </c>
      <c r="C146" s="2">
        <f>C60</f>
        <v>-150</v>
      </c>
      <c r="D146" s="1">
        <f>IF(Data!C108="Ei liittorakennetta",Data!D159,Data!D159+Data!D157)</f>
        <v>170.07692995262641</v>
      </c>
      <c r="M146" s="2"/>
    </row>
    <row r="147" spans="2:4" ht="12.75">
      <c r="B147" s="211"/>
      <c r="C147" s="5">
        <f>C61</f>
        <v>201</v>
      </c>
      <c r="D147" s="5">
        <f>D146</f>
        <v>170.07692995262641</v>
      </c>
    </row>
    <row r="148" spans="2:4" ht="12.75">
      <c r="B148" s="604" t="s">
        <v>419</v>
      </c>
      <c r="C148" s="2">
        <v>-150</v>
      </c>
      <c r="D148" s="1">
        <v>0</v>
      </c>
    </row>
    <row r="149" spans="2:4" ht="12.75">
      <c r="B149" s="211"/>
      <c r="C149" s="2">
        <f>C148</f>
        <v>-150</v>
      </c>
      <c r="D149" s="1">
        <f>MAX(D68,D108)</f>
        <v>378</v>
      </c>
    </row>
    <row r="150" spans="2:4" ht="12.75">
      <c r="B150" s="211"/>
      <c r="C150" s="2">
        <f>C61</f>
        <v>201</v>
      </c>
      <c r="D150" s="1">
        <f>D149</f>
        <v>378</v>
      </c>
    </row>
    <row r="151" spans="3:4" ht="12.75">
      <c r="C151" s="5">
        <f>C150</f>
        <v>201</v>
      </c>
      <c r="D151" s="5">
        <v>0</v>
      </c>
    </row>
    <row r="152" spans="3:4" ht="12.75">
      <c r="C152" s="2"/>
      <c r="D152" s="1"/>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Suunnittelu toimisto Lahti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Lahtela Tero</dc:creator>
  <cp:keywords/>
  <dc:description/>
  <cp:lastModifiedBy>Lahtela</cp:lastModifiedBy>
  <cp:lastPrinted>2015-04-20T10:21:02Z</cp:lastPrinted>
  <dcterms:created xsi:type="dcterms:W3CDTF">2004-12-29T06:51:38Z</dcterms:created>
  <dcterms:modified xsi:type="dcterms:W3CDTF">2017-02-07T10:35:53Z</dcterms:modified>
  <cp:category/>
  <cp:version/>
  <cp:contentType/>
  <cp:contentStatus/>
</cp:coreProperties>
</file>